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730" windowHeight="8160" tabRatio="904" firstSheet="2" activeTab="12"/>
  </bookViews>
  <sheets>
    <sheet name="000000000" sheetId="4" state="veryHidden" r:id="rId1"/>
    <sheet name="AAAAAAAAA" sheetId="6" state="veryHidden" r:id="rId2"/>
    <sheet name="Analisa" sheetId="50" r:id="rId3"/>
    <sheet name="Rek Anal" sheetId="51" r:id="rId4"/>
    <sheet name="Bahan" sheetId="2" r:id="rId5"/>
    <sheet name="Upah" sheetId="5" r:id="rId6"/>
    <sheet name="Alat" sheetId="49" r:id="rId7"/>
    <sheet name="Rab Gedung" sheetId="69" r:id="rId8"/>
    <sheet name="UPLOAD" sheetId="76" r:id="rId9"/>
    <sheet name="Beckup Gedung" sheetId="70" state="hidden" r:id="rId10"/>
    <sheet name="Sc Gedung" sheetId="74" state="hidden" r:id="rId11"/>
    <sheet name="Jkk" sheetId="65" state="hidden" r:id="rId12"/>
    <sheet name="Sheet1" sheetId="7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__TOTAL">#REF!</definedName>
    <definedName name="\_BUPAH_BAHAN">#REF!</definedName>
    <definedName name="\_CALAT__">#REF!</definedName>
    <definedName name="\_DMOBILISASI">#REF!</definedName>
    <definedName name="\_EMORTAR">#REF!</definedName>
    <definedName name="\_FGALIANBIASA">#REF!</definedName>
    <definedName name="\_GGALIANPADAS">#REF!</definedName>
    <definedName name="\_HURUGANBIASA">#REF!</definedName>
    <definedName name="\_IURUGANPILIHA">#REF!</definedName>
    <definedName name="\_JPEMADATANTAN">#REF!</definedName>
    <definedName name="\_KAGREGAT_A">#REF!</definedName>
    <definedName name="\_LAGREGAT_B">#REF!</definedName>
    <definedName name="\_MCTSB">#REF!</definedName>
    <definedName name="\_NSEMENPONDASI">#REF!</definedName>
    <definedName name="\_OPONDASISEMEN">#REF!</definedName>
    <definedName name="\_PPRIMECOAT">#REF!</definedName>
    <definedName name="\_QTACKCOAT">#REF!</definedName>
    <definedName name="\_RBURTU">#REF!</definedName>
    <definedName name="\_SPELABURAN">#REF!</definedName>
    <definedName name="\_THRS">#REF!</definedName>
    <definedName name="\_UATB">#REF!</definedName>
    <definedName name="\_VATBL">#REF!</definedName>
    <definedName name="\_WAC">#REF!</definedName>
    <definedName name="\_XSMA">#REF!</definedName>
    <definedName name="\_YK_275">#REF!</definedName>
    <definedName name="\_ZK_225">#REF!</definedName>
    <definedName name="\0">#REF!</definedName>
    <definedName name="\A">#REF!</definedName>
    <definedName name="\AAK_175">#REF!</definedName>
    <definedName name="\ABK_125">#REF!</definedName>
    <definedName name="\ACPEMBESIAN">#REF!</definedName>
    <definedName name="\ADPASANGANBATU">#REF!</definedName>
    <definedName name="\AEPANCANGGELAM">#REF!</definedName>
    <definedName name="\AFPLESTERAN">#REF!</definedName>
    <definedName name="\AGSIARAN">#REF!</definedName>
    <definedName name="\AHK_225__JBT_">#REF!</definedName>
    <definedName name="\AIK_350">#REF!</definedName>
    <definedName name="\AJMACADAM1">#REF!</definedName>
    <definedName name="\AKMARKA">#REF!</definedName>
    <definedName name="\ALRAMBU">#REF!</definedName>
    <definedName name="\AMPATOKPENGARA">#REF!</definedName>
    <definedName name="\ANKM">#REF!</definedName>
    <definedName name="\AOHEKTOMETER">#REF!</definedName>
    <definedName name="\APPENEBPOHON">#REF!</definedName>
    <definedName name="\AQPORTLPNJARAH">#REF!</definedName>
    <definedName name="\ARCOLDMILLING">#REF!</definedName>
    <definedName name="\AS01_03">#REF!</definedName>
    <definedName name="\AS05_07">#REF!</definedName>
    <definedName name="\AS08_10">#REF!</definedName>
    <definedName name="\ATVOLUME">#REF!</definedName>
    <definedName name="\AUREKAP">#REF!</definedName>
    <definedName name="\AV1DAFKUANTITA">#REF!</definedName>
    <definedName name="\AV2DAFKUANTITA">#REF!</definedName>
    <definedName name="\B">#REF!</definedName>
    <definedName name="\B_EVA">#REF!</definedName>
    <definedName name="\B_EVA1">#REF!</definedName>
    <definedName name="\B_PEM">#REF!</definedName>
    <definedName name="\B_PEM1">#REF!</definedName>
    <definedName name="\B_PENJ">#REF!</definedName>
    <definedName name="\B_PENJ1">#REF!</definedName>
    <definedName name="\B_TIMPANG">#REF!</definedName>
    <definedName name="\BAB_I_VI">#REF!</definedName>
    <definedName name="\BAB_VII_X">#REF!</definedName>
    <definedName name="\C">#REF!</definedName>
    <definedName name="\CV">#REF!</definedName>
    <definedName name="\CV_1">#REF!</definedName>
    <definedName name="\CV_2">#REF!</definedName>
    <definedName name="\CV2">#REF!</definedName>
    <definedName name="\D">#REF!</definedName>
    <definedName name="\D_REK">#REF!</definedName>
    <definedName name="\D_REK1">#REF!</definedName>
    <definedName name="\DAF_ISI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AMP">#REF!</definedName>
    <definedName name="\LAMP1">#REF!</definedName>
    <definedName name="\LAMP2">#REF!</definedName>
    <definedName name="\M">#REF!</definedName>
    <definedName name="\N">#REF!</definedName>
    <definedName name="\O">#REF!</definedName>
    <definedName name="\P">#REF!</definedName>
    <definedName name="\PENET">#REF!</definedName>
    <definedName name="\PENET1">#REF!</definedName>
    <definedName name="\PRO">#REF!</definedName>
    <definedName name="\q">#REF!</definedName>
    <definedName name="\R">#REF!</definedName>
    <definedName name="\RESUME">#REF!</definedName>
    <definedName name="\RESUME1">#REF!</definedName>
    <definedName name="\S">#REF!</definedName>
    <definedName name="\T">#REF!</definedName>
    <definedName name="\U">#REF!</definedName>
    <definedName name="\USUL_1">#REF!</definedName>
    <definedName name="\USUL_2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?___RIGHT__?_">#REF!</definedName>
    <definedName name="_______DAF10">#REF!</definedName>
    <definedName name="_______DIV1">#REF!</definedName>
    <definedName name="_______DIV10">#REF!</definedName>
    <definedName name="_______DIV11">#REF!</definedName>
    <definedName name="_______DIV2">#REF!</definedName>
    <definedName name="_______DIV3">#REF!</definedName>
    <definedName name="_______DIV4">#REF!</definedName>
    <definedName name="_______DIV5">#REF!</definedName>
    <definedName name="_______DIV6">#REF!</definedName>
    <definedName name="_______DIV7">#REF!</definedName>
    <definedName name="_______DIV8">#REF!</definedName>
    <definedName name="_______DIV9">#REF!</definedName>
    <definedName name="_______HAL5">#REF!</definedName>
    <definedName name="_______HAL6">#REF!</definedName>
    <definedName name="_______HAL7">#REF!</definedName>
    <definedName name="_______HAL8">#REF!</definedName>
    <definedName name="_______LLL01">#REF!</definedName>
    <definedName name="_______PL3">#REF!</definedName>
    <definedName name="_______rkl1000">#REF!</definedName>
    <definedName name="_______rkl200">#REF!</definedName>
    <definedName name="_______rkl300">#REF!</definedName>
    <definedName name="_______rkl400">#REF!</definedName>
    <definedName name="_______rkl500">#REF!</definedName>
    <definedName name="_______rkl600">#REF!</definedName>
    <definedName name="_______rkl700">#REF!</definedName>
    <definedName name="_______rkl800">#REF!</definedName>
    <definedName name="_______tlc20">#REF!</definedName>
    <definedName name="______bcv100">#REF!</definedName>
    <definedName name="______bcv125">#REF!</definedName>
    <definedName name="______bcv150">#REF!</definedName>
    <definedName name="______cvd100">#REF!</definedName>
    <definedName name="______cvd15">#REF!</definedName>
    <definedName name="______cvd150">#REF!</definedName>
    <definedName name="______cvd50">#REF!</definedName>
    <definedName name="______cvd65">#REF!</definedName>
    <definedName name="______daf32">#REF!</definedName>
    <definedName name="______daf33">#REF!</definedName>
    <definedName name="______DIV11">#REF!</definedName>
    <definedName name="______fjd100">#REF!</definedName>
    <definedName name="______fjd150">#REF!</definedName>
    <definedName name="______fjd50">#REF!</definedName>
    <definedName name="______fjd65">#REF!</definedName>
    <definedName name="______fmd150">#REF!</definedName>
    <definedName name="______gti50">#REF!</definedName>
    <definedName name="______gti60">#REF!</definedName>
    <definedName name="______gvd100">#REF!</definedName>
    <definedName name="______gvd15">#REF!</definedName>
    <definedName name="______gvd150">#REF!</definedName>
    <definedName name="______gvd25">#REF!</definedName>
    <definedName name="______gvd50">#REF!</definedName>
    <definedName name="______gvd65">#REF!</definedName>
    <definedName name="______hdw1">#REF!</definedName>
    <definedName name="______jum1">#REF!</definedName>
    <definedName name="______jum10">#REF!</definedName>
    <definedName name="______jum5">#REF!</definedName>
    <definedName name="______jum6">#REF!</definedName>
    <definedName name="______jum7">#REF!</definedName>
    <definedName name="______jum8">#REF!</definedName>
    <definedName name="______jum9">#REF!</definedName>
    <definedName name="______MDE40">#REF!</definedName>
    <definedName name="______MDE41">#REF!</definedName>
    <definedName name="______MDE42">#REF!</definedName>
    <definedName name="______MDE43">#REF!</definedName>
    <definedName name="______MDE44">#REF!</definedName>
    <definedName name="______MDE45">#REF!</definedName>
    <definedName name="______MDE46">#REF!</definedName>
    <definedName name="______MDE47">#REF!</definedName>
    <definedName name="______MDE48">#REF!</definedName>
    <definedName name="______MDE49">#REF!</definedName>
    <definedName name="______MDE50">#REF!</definedName>
    <definedName name="______MDE51">#REF!</definedName>
    <definedName name="______MDE52">#REF!</definedName>
    <definedName name="______MDE53">#REF!</definedName>
    <definedName name="______MDE54">#REF!</definedName>
    <definedName name="______MDE55">#REF!</definedName>
    <definedName name="______MDE56">#REF!</definedName>
    <definedName name="______MDE57">#REF!</definedName>
    <definedName name="______MDE58">#REF!</definedName>
    <definedName name="______MDE59">#REF!</definedName>
    <definedName name="______MDE60">#REF!</definedName>
    <definedName name="______MDE61">#REF!</definedName>
    <definedName name="______MDE62">#REF!</definedName>
    <definedName name="______MDE63">#REF!</definedName>
    <definedName name="______MDE64">#REF!</definedName>
    <definedName name="______MDE65">#REF!</definedName>
    <definedName name="______MDE66">#REF!</definedName>
    <definedName name="______MDE67">#REF!</definedName>
    <definedName name="______MDE68">#REF!</definedName>
    <definedName name="______ME35">#REF!</definedName>
    <definedName name="______ME36">#REF!</definedName>
    <definedName name="______ME37">#REF!</definedName>
    <definedName name="______ME38">#REF!</definedName>
    <definedName name="______ME39">#REF!</definedName>
    <definedName name="______ME40">#REF!</definedName>
    <definedName name="______ME41">#REF!</definedName>
    <definedName name="______ME42">#REF!</definedName>
    <definedName name="______ME43">#REF!</definedName>
    <definedName name="______ME44">#REF!</definedName>
    <definedName name="______ME45">#REF!</definedName>
    <definedName name="______ME46">#REF!</definedName>
    <definedName name="______ME47">#REF!</definedName>
    <definedName name="______ME48">#REF!</definedName>
    <definedName name="______ME49">#REF!</definedName>
    <definedName name="______ME50">#REF!</definedName>
    <definedName name="______ME51">#REF!</definedName>
    <definedName name="______ME52">#REF!</definedName>
    <definedName name="______ME53">#REF!</definedName>
    <definedName name="______ME54">#REF!</definedName>
    <definedName name="______ME55">#REF!</definedName>
    <definedName name="______ME56">#REF!</definedName>
    <definedName name="______ME57">#REF!</definedName>
    <definedName name="______ME58">#REF!</definedName>
    <definedName name="______ME59">#REF!</definedName>
    <definedName name="______ME60">#REF!</definedName>
    <definedName name="______ME61">#REF!</definedName>
    <definedName name="______ME62">#REF!</definedName>
    <definedName name="______ME63">#REF!</definedName>
    <definedName name="______ME64">#REF!</definedName>
    <definedName name="______ME65">#REF!</definedName>
    <definedName name="______ME66">#REF!</definedName>
    <definedName name="______ME67">#REF!</definedName>
    <definedName name="______ME68">#REF!</definedName>
    <definedName name="______pab125">#REF!</definedName>
    <definedName name="______pab126">#REF!</definedName>
    <definedName name="______pab65">#REF!</definedName>
    <definedName name="______pbs100">#REF!</definedName>
    <definedName name="______pbs15">#REF!</definedName>
    <definedName name="______pbs150">#REF!</definedName>
    <definedName name="______pbs40">#REF!</definedName>
    <definedName name="______pbs50">#REF!</definedName>
    <definedName name="______pbs65">#REF!</definedName>
    <definedName name="______pbs80">#REF!</definedName>
    <definedName name="______PL1">#REF!</definedName>
    <definedName name="______PL2">#REF!</definedName>
    <definedName name="______rk100">#REF!</definedName>
    <definedName name="______rk200">#REF!</definedName>
    <definedName name="______rk300">#REF!</definedName>
    <definedName name="______rk600">#REF!</definedName>
    <definedName name="______rkl1200">#REF!</definedName>
    <definedName name="______sfv150">#REF!</definedName>
    <definedName name="______std100">#REF!</definedName>
    <definedName name="______std150">#REF!</definedName>
    <definedName name="______std50">#REF!</definedName>
    <definedName name="______std65">#REF!</definedName>
    <definedName name="______tsv25">#REF!</definedName>
    <definedName name="_____ATB1">#REF!</definedName>
    <definedName name="_____ATB2">#REF!</definedName>
    <definedName name="_____ATB3">#REF!</definedName>
    <definedName name="_____ATB4">#REF!</definedName>
    <definedName name="_____DIV1">#REF!</definedName>
    <definedName name="_____DIV10">#REF!</definedName>
    <definedName name="_____DIV11">#REF!</definedName>
    <definedName name="_____DIV2">#REF!</definedName>
    <definedName name="_____DIV3">#REF!</definedName>
    <definedName name="_____DIV4">#REF!</definedName>
    <definedName name="_____DIV5">#REF!</definedName>
    <definedName name="_____DIV6">#REF!</definedName>
    <definedName name="_____DIV7">#REF!</definedName>
    <definedName name="_____DIV8">#REF!</definedName>
    <definedName name="_____DIV9">#REF!</definedName>
    <definedName name="_____HAL1">#REF!</definedName>
    <definedName name="_____HAL2">#REF!</definedName>
    <definedName name="_____HAL3">#REF!</definedName>
    <definedName name="_____HAL4">#REF!</definedName>
    <definedName name="_____HAL5">#REF!</definedName>
    <definedName name="_____HAL6">#REF!</definedName>
    <definedName name="_____HAL7">#REF!</definedName>
    <definedName name="_____HAL8">#REF!</definedName>
    <definedName name="_____jum1">#REF!</definedName>
    <definedName name="_____jum10">#REF!</definedName>
    <definedName name="_____jum2">#REF!</definedName>
    <definedName name="_____jum3">#REF!</definedName>
    <definedName name="_____jum4">#REF!</definedName>
    <definedName name="_____jum5">#REF!</definedName>
    <definedName name="_____jum6">#REF!</definedName>
    <definedName name="_____jum7">#REF!</definedName>
    <definedName name="_____jum8">#REF!</definedName>
    <definedName name="_____jum9">#REF!</definedName>
    <definedName name="_____MMM19">'[1]Basic Price'!$F$71</definedName>
    <definedName name="_____MOB1">#REF!</definedName>
    <definedName name="_____MOB2">#REF!</definedName>
    <definedName name="_____rk600">#REF!</definedName>
    <definedName name="_____rkl1200">#REF!</definedName>
    <definedName name="____ATB1">#REF!</definedName>
    <definedName name="____ATB2">#REF!</definedName>
    <definedName name="____ATB3">#REF!</definedName>
    <definedName name="____ATB4">#REF!</definedName>
    <definedName name="____bbm10">#REF!</definedName>
    <definedName name="____bbm3">#REF!</definedName>
    <definedName name="____bbm5">#REF!</definedName>
    <definedName name="____bbm8">#REF!</definedName>
    <definedName name="____bsd1600">#REF!</definedName>
    <definedName name="____bsd2500">#REF!</definedName>
    <definedName name="____bsd4000">#REF!</definedName>
    <definedName name="____btn175">#REF!</definedName>
    <definedName name="____bud3500">#REF!</definedName>
    <definedName name="____cip8">#REF!</definedName>
    <definedName name="____ddn400">#REF!</definedName>
    <definedName name="____ddn600">#REF!</definedName>
    <definedName name="____DIV1">#REF!</definedName>
    <definedName name="____DIV10">#REF!</definedName>
    <definedName name="____DIV11">#REF!</definedName>
    <definedName name="____DIV2">#REF!</definedName>
    <definedName name="____DIV3">#REF!</definedName>
    <definedName name="____DIV4">#REF!</definedName>
    <definedName name="____DIV5">#REF!</definedName>
    <definedName name="____DIV6">#REF!</definedName>
    <definedName name="____DIV7">#REF!</definedName>
    <definedName name="____DIV8">#REF!</definedName>
    <definedName name="____DIV9">#REF!</definedName>
    <definedName name="____EQU2">#REF!</definedName>
    <definedName name="____FIT200">#REF!</definedName>
    <definedName name="____FIT300">#REF!</definedName>
    <definedName name="____FIT65">#REF!</definedName>
    <definedName name="____fit80">#REF!</definedName>
    <definedName name="____HAL1">#REF!</definedName>
    <definedName name="____HAL2">#REF!</definedName>
    <definedName name="____HAL3">#REF!</definedName>
    <definedName name="____HAL4">#REF!</definedName>
    <definedName name="____HAL5">#REF!</definedName>
    <definedName name="____HAL6">#REF!</definedName>
    <definedName name="____HAL7">#REF!</definedName>
    <definedName name="____HAL8">#REF!</definedName>
    <definedName name="____jum1">#REF!</definedName>
    <definedName name="____jum10">#REF!</definedName>
    <definedName name="____jum2">#REF!</definedName>
    <definedName name="____jum3">#REF!</definedName>
    <definedName name="____jum4">#REF!</definedName>
    <definedName name="____jum5">#REF!</definedName>
    <definedName name="____jum6">#REF!</definedName>
    <definedName name="____jum7">#REF!</definedName>
    <definedName name="____jum8">#REF!</definedName>
    <definedName name="____jum9">#REF!</definedName>
    <definedName name="____LCM2">#REF!</definedName>
    <definedName name="____LCM3">#REF!</definedName>
    <definedName name="____ldp60">#REF!</definedName>
    <definedName name="____lh50">#REF!</definedName>
    <definedName name="____LLL09">#REF!</definedName>
    <definedName name="____LLL10">#REF!</definedName>
    <definedName name="____lp100">#REF!</definedName>
    <definedName name="____lp300">#REF!</definedName>
    <definedName name="____lp36">#REF!</definedName>
    <definedName name="____lp500">#REF!</definedName>
    <definedName name="____lp60">#REF!</definedName>
    <definedName name="____lpl11">#REF!</definedName>
    <definedName name="____MAC12">#REF!</definedName>
    <definedName name="____MAC46">#REF!</definedName>
    <definedName name="____mc2">#REF!</definedName>
    <definedName name="____mg8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'[1]Basic Price'!$F$91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MOB1">#REF!</definedName>
    <definedName name="____MOB2">#REF!</definedName>
    <definedName name="____nyy244">#REF!</definedName>
    <definedName name="____nyy246">#REF!</definedName>
    <definedName name="____nyy34">#REF!</definedName>
    <definedName name="____nyy410">#REF!</definedName>
    <definedName name="____nyy41010">#REF!</definedName>
    <definedName name="____nyy412050">#REF!</definedName>
    <definedName name="____nyy412070">#REF!</definedName>
    <definedName name="____nyy415070">#REF!</definedName>
    <definedName name="____nyy416">#REF!</definedName>
    <definedName name="____nyy41616">#REF!</definedName>
    <definedName name="____nyy42525">#REF!</definedName>
    <definedName name="____nyy43535">#REF!</definedName>
    <definedName name="____nyy44">#REF!</definedName>
    <definedName name="____nyy444">#REF!</definedName>
    <definedName name="____nyy45050">#REF!</definedName>
    <definedName name="____nyy46">#REF!</definedName>
    <definedName name="____nyy466">#REF!</definedName>
    <definedName name="____nyy47050">#REF!</definedName>
    <definedName name="____nyy47070">#REF!</definedName>
    <definedName name="____nyy49570">#REF!</definedName>
    <definedName name="____PA1">#REF!</definedName>
    <definedName name="____PA10">#REF!</definedName>
    <definedName name="____PA2">#REF!</definedName>
    <definedName name="____PA3">#REF!</definedName>
    <definedName name="____PA4">#REF!</definedName>
    <definedName name="____PA5">#REF!</definedName>
    <definedName name="____PA6">#REF!</definedName>
    <definedName name="____PA7">#REF!</definedName>
    <definedName name="____PA8">#REF!</definedName>
    <definedName name="____PA9">#REF!</definedName>
    <definedName name="____pab126">#REF!</definedName>
    <definedName name="____pbf3">#REF!</definedName>
    <definedName name="____pbf4">#REF!</definedName>
    <definedName name="____PVC34">#REF!</definedName>
    <definedName name="____QS1">#REF!</definedName>
    <definedName name="____QS10">#REF!</definedName>
    <definedName name="____QS11">#REF!</definedName>
    <definedName name="____QS12">#REF!</definedName>
    <definedName name="____QS13">#REF!</definedName>
    <definedName name="____QS14">#REF!</definedName>
    <definedName name="____QS15">#REF!</definedName>
    <definedName name="____QS16">#REF!</definedName>
    <definedName name="____QS17">#REF!</definedName>
    <definedName name="____QS18">#REF!</definedName>
    <definedName name="____QS19">#REF!</definedName>
    <definedName name="____QS2">#REF!</definedName>
    <definedName name="____QS20">#REF!</definedName>
    <definedName name="____QS21">#REF!</definedName>
    <definedName name="____QS3">#REF!</definedName>
    <definedName name="____QS4">#REF!</definedName>
    <definedName name="____QS5">#REF!</definedName>
    <definedName name="____QS6">#REF!</definedName>
    <definedName name="____QS7">#REF!</definedName>
    <definedName name="____QS8">#REF!</definedName>
    <definedName name="____QS9">#REF!</definedName>
    <definedName name="____rd4">#REF!</definedName>
    <definedName name="____rd6">#REF!</definedName>
    <definedName name="____rd8">#REF!</definedName>
    <definedName name="____rk100">#REF!</definedName>
    <definedName name="____rk150">#REF!</definedName>
    <definedName name="____rk200">#REF!</definedName>
    <definedName name="____rk300">#REF!</definedName>
    <definedName name="____rk400">#REF!</definedName>
    <definedName name="____rk500">#REF!</definedName>
    <definedName name="____rk600">#REF!</definedName>
    <definedName name="____rkl1200">#REF!</definedName>
    <definedName name="____sc1">#REF!</definedName>
    <definedName name="____SC2">#REF!</definedName>
    <definedName name="____sc3">#REF!</definedName>
    <definedName name="____TL1">#REF!</definedName>
    <definedName name="____TL2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uls60">#REF!</definedName>
    <definedName name="____we3">#REF!</definedName>
    <definedName name="___ATB1">#REF!</definedName>
    <definedName name="___ATB2">#REF!</definedName>
    <definedName name="___ATB3">#REF!</definedName>
    <definedName name="___ATB4">#REF!</definedName>
    <definedName name="___bvd5">#REF!</definedName>
    <definedName name="___bvd8">#REF!</definedName>
    <definedName name="___DIV1">#REF!</definedName>
    <definedName name="___DIV10">#REF!</definedName>
    <definedName name="___DIV11">#REF!</definedName>
    <definedName name="___DIV2">#REF!</definedName>
    <definedName name="___DIV3">#REF!</definedName>
    <definedName name="___DIV4">#REF!</definedName>
    <definedName name="___DIV5">#REF!</definedName>
    <definedName name="___DIV6">#REF!</definedName>
    <definedName name="___DIV7">#REF!</definedName>
    <definedName name="___DIV8">#REF!</definedName>
    <definedName name="___DIV9">#REF!</definedName>
    <definedName name="___EEE23">'[2]5-ALAT(1)'!$AW$30</definedName>
    <definedName name="___EQU1">#REF!</definedName>
    <definedName name="___EQU2">#REF!</definedName>
    <definedName name="___gvd5">#REF!</definedName>
    <definedName name="___gvd6">#REF!</definedName>
    <definedName name="___gvd8">#REF!</definedName>
    <definedName name="___HAL1">#REF!</definedName>
    <definedName name="___HAL2">#REF!</definedName>
    <definedName name="___HAL3">#REF!</definedName>
    <definedName name="___HAL4">#REF!</definedName>
    <definedName name="___HAL5">#REF!</definedName>
    <definedName name="___HAL6">#REF!</definedName>
    <definedName name="___HAL7">#REF!</definedName>
    <definedName name="___HAL8">#REF!</definedName>
    <definedName name="___jum1">#REF!</definedName>
    <definedName name="___jum10">#REF!</definedName>
    <definedName name="___jum2">#REF!</definedName>
    <definedName name="___jum3">#REF!</definedName>
    <definedName name="___jum4">#REF!</definedName>
    <definedName name="___jum5">#REF!</definedName>
    <definedName name="___jum6">#REF!</definedName>
    <definedName name="___jum7">#REF!</definedName>
    <definedName name="___jum8">#REF!</definedName>
    <definedName name="___jum9">#REF!</definedName>
    <definedName name="___ld100">#REF!</definedName>
    <definedName name="___ld120">#REF!</definedName>
    <definedName name="___ld50">#REF!</definedName>
    <definedName name="___ld60">#REF!</definedName>
    <definedName name="___ld80">#REF!</definedName>
    <definedName name="___mg8">#REF!</definedName>
    <definedName name="___MOB1">#REF!</definedName>
    <definedName name="___MOB2">#REF!</definedName>
    <definedName name="___NCL200">#REF!</definedName>
    <definedName name="___NCL250">#REF!</definedName>
    <definedName name="___nin190">#REF!</definedName>
    <definedName name="___pab126">#REF!</definedName>
    <definedName name="___pc1">#REF!</definedName>
    <definedName name="___pc10">#REF!</definedName>
    <definedName name="___pc12">#REF!</definedName>
    <definedName name="___pc2">#REF!</definedName>
    <definedName name="___pc3">#REF!</definedName>
    <definedName name="___pc4">#REF!</definedName>
    <definedName name="___pc5">#REF!</definedName>
    <definedName name="___pc6">#REF!</definedName>
    <definedName name="___pc8">#REF!</definedName>
    <definedName name="___pcf10">#REF!</definedName>
    <definedName name="___pcf12">#REF!</definedName>
    <definedName name="___pcf3">#REF!</definedName>
    <definedName name="___pcf4">#REF!</definedName>
    <definedName name="___pcf5">#REF!</definedName>
    <definedName name="___pcf6">#REF!</definedName>
    <definedName name="___pcf8">#REF!</definedName>
    <definedName name="___pd1">#REF!</definedName>
    <definedName name="___pd2">#REF!</definedName>
    <definedName name="___pd3">#REF!</definedName>
    <definedName name="___pdf3">#REF!</definedName>
    <definedName name="___PVC34">#REF!</definedName>
    <definedName name="___std4">#REF!</definedName>
    <definedName name="___vcd4">#REF!</definedName>
    <definedName name="___VL100">#REF!</definedName>
    <definedName name="___VL200">#REF!</definedName>
    <definedName name="___VL250">#REF!</definedName>
    <definedName name="__123Graph_A" hidden="1">#REF!</definedName>
    <definedName name="__123Graph_B" hidden="1">#REF!</definedName>
    <definedName name="__123Graph_X" hidden="1">#REF!</definedName>
    <definedName name="__ATB1">#REF!</definedName>
    <definedName name="__ATB2">#REF!</definedName>
    <definedName name="__ATB3">#REF!</definedName>
    <definedName name="__ATB4">#REF!</definedName>
    <definedName name="__bcv150">#REF!</definedName>
    <definedName name="__btn175">#REF!</definedName>
    <definedName name="__btn300">#REF!</definedName>
    <definedName name="__bud3500">#REF!</definedName>
    <definedName name="__bvd5">#REF!</definedName>
    <definedName name="__bvd8">#REF!</definedName>
    <definedName name="__cip8">#REF!</definedName>
    <definedName name="__daf1">#REF!</definedName>
    <definedName name="__DAF10">#REF!</definedName>
    <definedName name="__daf2">#REF!</definedName>
    <definedName name="__daf31">#REF!</definedName>
    <definedName name="__daf32">#REF!</definedName>
    <definedName name="__daf33">#REF!</definedName>
    <definedName name="__ddn400">#REF!</definedName>
    <definedName name="__ddn600">#REF!</definedName>
    <definedName name="__DIV1">#REF!</definedName>
    <definedName name="__DIV10">#REF!</definedName>
    <definedName name="__DIV11">#REF!</definedName>
    <definedName name="__DIV2">#REF!</definedName>
    <definedName name="__DIV3">#REF!</definedName>
    <definedName name="__DIV4">#REF!</definedName>
    <definedName name="__DIV5">#REF!</definedName>
    <definedName name="__DIV6">#REF!</definedName>
    <definedName name="__DIV7">#REF!</definedName>
    <definedName name="__DIV8">#REF!</definedName>
    <definedName name="__DIV9">#REF!</definedName>
    <definedName name="__EQU1">#REF!</definedName>
    <definedName name="__EQU2">#REF!</definedName>
    <definedName name="__fdu2">#REF!</definedName>
    <definedName name="__FIT100">#REF!</definedName>
    <definedName name="__fit125">#REF!</definedName>
    <definedName name="__FIT150">#REF!</definedName>
    <definedName name="__FIT200">#REF!</definedName>
    <definedName name="__FIT300">#REF!</definedName>
    <definedName name="__FIT65">#REF!</definedName>
    <definedName name="__fit80">#REF!</definedName>
    <definedName name="__fjd100">#REF!</definedName>
    <definedName name="__fjd150">#REF!</definedName>
    <definedName name="__fjd50">#REF!</definedName>
    <definedName name="__fjd65">#REF!</definedName>
    <definedName name="__grc1">#REF!</definedName>
    <definedName name="__gvd100">#REF!</definedName>
    <definedName name="__gvd15">#REF!</definedName>
    <definedName name="__gvd150">#REF!</definedName>
    <definedName name="__gvd2">#REF!</definedName>
    <definedName name="__gvd25">#REF!</definedName>
    <definedName name="__gvd3">#REF!</definedName>
    <definedName name="__gvd4">#REF!</definedName>
    <definedName name="__gvd5">#REF!</definedName>
    <definedName name="__gvd50">#REF!</definedName>
    <definedName name="__gvd6">#REF!</definedName>
    <definedName name="__gvd65">#REF!</definedName>
    <definedName name="__gvd8">#REF!</definedName>
    <definedName name="__HAL1">#REF!</definedName>
    <definedName name="__HAL2">#REF!</definedName>
    <definedName name="__HAL3">#REF!</definedName>
    <definedName name="__HAL4">#REF!</definedName>
    <definedName name="__HAL5">#REF!</definedName>
    <definedName name="__HAL6">#REF!</definedName>
    <definedName name="__HAL7">#REF!</definedName>
    <definedName name="__HAL8">#REF!</definedName>
    <definedName name="__hdw1">#REF!</definedName>
    <definedName name="__jum1">#REF!</definedName>
    <definedName name="__jum10">#REF!</definedName>
    <definedName name="__jum2">#REF!</definedName>
    <definedName name="__jum3">#REF!</definedName>
    <definedName name="__jum4">#REF!</definedName>
    <definedName name="__jum5">#REF!</definedName>
    <definedName name="__jum6">#REF!</definedName>
    <definedName name="__jum7">#REF!</definedName>
    <definedName name="__jum8">#REF!</definedName>
    <definedName name="__jum9">#REF!</definedName>
    <definedName name="__kco7">#REF!</definedName>
    <definedName name="__LCM2">#REF!</definedName>
    <definedName name="__LCM3">#REF!</definedName>
    <definedName name="__ld100">#REF!</definedName>
    <definedName name="__ld120">#REF!</definedName>
    <definedName name="__ld50">#REF!</definedName>
    <definedName name="__ld60">#REF!</definedName>
    <definedName name="__ld80">#REF!</definedName>
    <definedName name="__ldp60">#REF!</definedName>
    <definedName name="__lh50">#REF!</definedName>
    <definedName name="__lpl11">#REF!</definedName>
    <definedName name="__ls100">#REF!</definedName>
    <definedName name="__ls50">#REF!</definedName>
    <definedName name="__ls60">#REF!</definedName>
    <definedName name="__ls80">#REF!</definedName>
    <definedName name="__MAC12">#REF!</definedName>
    <definedName name="__MAC46">#REF!</definedName>
    <definedName name="__MDE41">#REF!</definedName>
    <definedName name="__MDE42">#REF!</definedName>
    <definedName name="__MDE43">#REF!</definedName>
    <definedName name="__MDE44">#REF!</definedName>
    <definedName name="__MDE45">#REF!</definedName>
    <definedName name="__MDE46">#REF!</definedName>
    <definedName name="__MDE47">#REF!</definedName>
    <definedName name="__MDE48">#REF!</definedName>
    <definedName name="__MDE49">#REF!</definedName>
    <definedName name="__MDE50">#REF!</definedName>
    <definedName name="__MDE51">#REF!</definedName>
    <definedName name="__MDE52">#REF!</definedName>
    <definedName name="__MDE53">#REF!</definedName>
    <definedName name="__MDE54">#REF!</definedName>
    <definedName name="__MDE55">#REF!</definedName>
    <definedName name="__MDE56">#REF!</definedName>
    <definedName name="__MDE57">#REF!</definedName>
    <definedName name="__MDE58">#REF!</definedName>
    <definedName name="__MDE59">#REF!</definedName>
    <definedName name="__MDE60">#REF!</definedName>
    <definedName name="__MDE61">#REF!</definedName>
    <definedName name="__MDE62">#REF!</definedName>
    <definedName name="__MDE63">#REF!</definedName>
    <definedName name="__MDE64">#REF!</definedName>
    <definedName name="__MDE65">#REF!</definedName>
    <definedName name="__MDE66">#REF!</definedName>
    <definedName name="__MDE67">#REF!</definedName>
    <definedName name="__MDE68">#REF!</definedName>
    <definedName name="__ME46">#REF!</definedName>
    <definedName name="__ME47">#REF!</definedName>
    <definedName name="__ME48">#REF!</definedName>
    <definedName name="__ME49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g8">#REF!</definedName>
    <definedName name="__MOB1">#REF!</definedName>
    <definedName name="__MOB2">#REF!</definedName>
    <definedName name="__mvd4">#REF!</definedName>
    <definedName name="__NCL100">#REF!</definedName>
    <definedName name="__NCL200">#REF!</definedName>
    <definedName name="__NCL250">#REF!</definedName>
    <definedName name="__nin190">#REF!</definedName>
    <definedName name="__nym34">#REF!</definedName>
    <definedName name="__nym46">#REF!</definedName>
    <definedName name="__nyy2416">#REF!</definedName>
    <definedName name="__nyy244">#REF!</definedName>
    <definedName name="__nyy246">#REF!</definedName>
    <definedName name="__nyy34">#REF!</definedName>
    <definedName name="__nyy410">#REF!</definedName>
    <definedName name="__nyy41010">#REF!</definedName>
    <definedName name="__nyy412050">#REF!</definedName>
    <definedName name="__nyy412070">#REF!</definedName>
    <definedName name="__nyy415070">#REF!</definedName>
    <definedName name="__nyy416">#REF!</definedName>
    <definedName name="__nyy41616">#REF!</definedName>
    <definedName name="__nyy42525">#REF!</definedName>
    <definedName name="__nyy43535">#REF!</definedName>
    <definedName name="__nyy44">#REF!</definedName>
    <definedName name="__nyy444">#REF!</definedName>
    <definedName name="__nyy45050">#REF!</definedName>
    <definedName name="__nyy46">#REF!</definedName>
    <definedName name="__nyy466">#REF!</definedName>
    <definedName name="__nyy47050">#REF!</definedName>
    <definedName name="__nyy47070">#REF!</definedName>
    <definedName name="__nyy49570">#REF!</definedName>
    <definedName name="__PA1">#REF!</definedName>
    <definedName name="__PA10">#REF!</definedName>
    <definedName name="__PA2">#REF!</definedName>
    <definedName name="__PA3">#REF!</definedName>
    <definedName name="__PA4">#REF!</definedName>
    <definedName name="__PA5">#REF!</definedName>
    <definedName name="__PA6">#REF!</definedName>
    <definedName name="__PA7">#REF!</definedName>
    <definedName name="__PA8">#REF!</definedName>
    <definedName name="__PA9">#REF!</definedName>
    <definedName name="__pbf3">#REF!</definedName>
    <definedName name="__pbf4">#REF!</definedName>
    <definedName name="__pbs100">#REF!</definedName>
    <definedName name="__pbs15">#REF!</definedName>
    <definedName name="__pbs150">#REF!</definedName>
    <definedName name="__pbs40">#REF!</definedName>
    <definedName name="__pbs50">#REF!</definedName>
    <definedName name="__pbs65">#REF!</definedName>
    <definedName name="__pbs80">#REF!</definedName>
    <definedName name="__pc1">#REF!</definedName>
    <definedName name="__pc10">#REF!</definedName>
    <definedName name="__pc12">#REF!</definedName>
    <definedName name="__pcf12">#REF!</definedName>
    <definedName name="__pcf3">#REF!</definedName>
    <definedName name="__pcf4">#REF!</definedName>
    <definedName name="__pcf5">#REF!</definedName>
    <definedName name="__pcf6">#REF!</definedName>
    <definedName name="__pcf8">#REF!</definedName>
    <definedName name="__po1000">#REF!</definedName>
    <definedName name="__por4040">#REF!</definedName>
    <definedName name="__PVC34">#REF!</definedName>
    <definedName name="__QS1">#REF!</definedName>
    <definedName name="__QS10">#REF!</definedName>
    <definedName name="__QS11">#REF!</definedName>
    <definedName name="__QS12">#REF!</definedName>
    <definedName name="__QS13">#REF!</definedName>
    <definedName name="__QS14">#REF!</definedName>
    <definedName name="__QS15">#REF!</definedName>
    <definedName name="__QS16">#REF!</definedName>
    <definedName name="__QS17">#REF!</definedName>
    <definedName name="__QS18">#REF!</definedName>
    <definedName name="__QS19">#REF!</definedName>
    <definedName name="__QS2">#REF!</definedName>
    <definedName name="__QS20">#REF!</definedName>
    <definedName name="__QS21">#REF!</definedName>
    <definedName name="__QS3">#REF!</definedName>
    <definedName name="__QS4">#REF!</definedName>
    <definedName name="__QS5">#REF!</definedName>
    <definedName name="__QS6">#REF!</definedName>
    <definedName name="__QS7">#REF!</definedName>
    <definedName name="__QS8">#REF!</definedName>
    <definedName name="__QS9">#REF!</definedName>
    <definedName name="__rd4">#REF!</definedName>
    <definedName name="__rd6">#REF!</definedName>
    <definedName name="__rd8">#REF!</definedName>
    <definedName name="__rk100">#REF!</definedName>
    <definedName name="__rk150">#REF!</definedName>
    <definedName name="__rk200">#REF!</definedName>
    <definedName name="__rk300">#REF!</definedName>
    <definedName name="__rk400">#REF!</definedName>
    <definedName name="__rk500">#REF!</definedName>
    <definedName name="__rk600">#REF!</definedName>
    <definedName name="__rkl1000">#REF!</definedName>
    <definedName name="__rkl1200">#REF!</definedName>
    <definedName name="__rkl200">#REF!</definedName>
    <definedName name="__rkl300">#REF!</definedName>
    <definedName name="__rkl400">#REF!</definedName>
    <definedName name="__rkl500">#REF!</definedName>
    <definedName name="__rkl600">#REF!</definedName>
    <definedName name="__rkl700">#REF!</definedName>
    <definedName name="__rkl800">#REF!</definedName>
    <definedName name="__sc1">#REF!</definedName>
    <definedName name="__SC2">#REF!</definedName>
    <definedName name="__sc3">#REF!</definedName>
    <definedName name="__sfv150">#REF!</definedName>
    <definedName name="__sh1040">#REF!</definedName>
    <definedName name="__std4">#REF!</definedName>
    <definedName name="__std50">#REF!</definedName>
    <definedName name="__std65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c20">#REF!</definedName>
    <definedName name="__vcd2">#REF!</definedName>
    <definedName name="__vcd3">#REF!</definedName>
    <definedName name="__vcd4">#REF!</definedName>
    <definedName name="__VL100">#REF!</definedName>
    <definedName name="__VL200">#REF!</definedName>
    <definedName name="__VL250">#REF!</definedName>
    <definedName name="_1">#N/A</definedName>
    <definedName name="_1_0_0dasarpr">#REF!</definedName>
    <definedName name="_10">#REF!</definedName>
    <definedName name="_10000">#REF!</definedName>
    <definedName name="_12">#REF!</definedName>
    <definedName name="_2">#N/A</definedName>
    <definedName name="_22FA">#REF!</definedName>
    <definedName name="_22PK">#REF!</definedName>
    <definedName name="_231FA">#REF!</definedName>
    <definedName name="_231PK">#REF!</definedName>
    <definedName name="_232FA">#REF!</definedName>
    <definedName name="_232PK">#REF!</definedName>
    <definedName name="_233FA">#REF!</definedName>
    <definedName name="_233PK">#REF!</definedName>
    <definedName name="_241FA">#REF!</definedName>
    <definedName name="_241PK">#REF!</definedName>
    <definedName name="_242FA">#REF!</definedName>
    <definedName name="_242PK">#REF!</definedName>
    <definedName name="_243FA">#REF!</definedName>
    <definedName name="_243PK">#REF!</definedName>
    <definedName name="_321FA">#REF!</definedName>
    <definedName name="_321PK">#REF!</definedName>
    <definedName name="_322FA">#REF!</definedName>
    <definedName name="_322PK">#REF!</definedName>
    <definedName name="_33FA">#REF!</definedName>
    <definedName name="_33PK">#REF!</definedName>
    <definedName name="_345">#REF!</definedName>
    <definedName name="_3WROLLER">#REF!</definedName>
    <definedName name="_421PK">#REF!</definedName>
    <definedName name="_422FA">#REF!</definedName>
    <definedName name="_422PK">#REF!</definedName>
    <definedName name="_431FA">#REF!</definedName>
    <definedName name="_431PK">#REF!</definedName>
    <definedName name="_432FA">#REF!</definedName>
    <definedName name="_432PK">#REF!</definedName>
    <definedName name="_433FA">#REF!</definedName>
    <definedName name="_433PK">#REF!</definedName>
    <definedName name="_4CSTON2_3">#REF!</definedName>
    <definedName name="_5">#N/A</definedName>
    <definedName name="_5000">#REF!</definedName>
    <definedName name="_511FA">#REF!</definedName>
    <definedName name="_511PK">#REF!</definedName>
    <definedName name="_512FA">#REF!</definedName>
    <definedName name="_512PK">#REF!</definedName>
    <definedName name="_521FA">#REF!</definedName>
    <definedName name="_521PK">#REF!</definedName>
    <definedName name="_522FA">#REF!</definedName>
    <definedName name="_522PK">#REF!</definedName>
    <definedName name="_541FA">#REF!</definedName>
    <definedName name="_541PK">#REF!</definedName>
    <definedName name="_542FA">#REF!</definedName>
    <definedName name="_542PK">#REF!</definedName>
    <definedName name="_6">#N/A</definedName>
    <definedName name="_621PK">#REF!</definedName>
    <definedName name="_622FA">#REF!</definedName>
    <definedName name="_622PK">#REF!</definedName>
    <definedName name="_623FA">#REF!</definedName>
    <definedName name="_623PK">#REF!</definedName>
    <definedName name="_632FA">#REF!</definedName>
    <definedName name="_632PK">#REF!</definedName>
    <definedName name="_633FA">#REF!</definedName>
    <definedName name="_633PK">#REF!</definedName>
    <definedName name="_634FA">#REF!</definedName>
    <definedName name="_634PK">#REF!</definedName>
    <definedName name="_635AFA">#REF!</definedName>
    <definedName name="_635APK">#REF!</definedName>
    <definedName name="_635FA">#REF!</definedName>
    <definedName name="_635PK">#REF!</definedName>
    <definedName name="_67">#REF!</definedName>
    <definedName name="_7">#REF!</definedName>
    <definedName name="_72PK">#REF!</definedName>
    <definedName name="_74FA">#REF!</definedName>
    <definedName name="_74PK">#REF!</definedName>
    <definedName name="_750_KVA_X_64__">#REF!</definedName>
    <definedName name="_751FA">#REF!</definedName>
    <definedName name="_751PK">#REF!</definedName>
    <definedName name="_752FA">#REF!</definedName>
    <definedName name="_752PK">#REF!</definedName>
    <definedName name="_753FA">#REF!</definedName>
    <definedName name="_753PK">#REF!</definedName>
    <definedName name="_754FA">#REF!</definedName>
    <definedName name="_754PK">#REF!</definedName>
    <definedName name="_8">#REF!</definedName>
    <definedName name="_8000">#REF!</definedName>
    <definedName name="_813FA">#REF!</definedName>
    <definedName name="_813PK">#REF!</definedName>
    <definedName name="_814FA">#REF!</definedName>
    <definedName name="_814PK">#REF!</definedName>
    <definedName name="_815FA">#REF!</definedName>
    <definedName name="_815PK">#REF!</definedName>
    <definedName name="_817FA">#REF!</definedName>
    <definedName name="_817PK">#REF!</definedName>
    <definedName name="_818FA">#REF!</definedName>
    <definedName name="_818PK">#REF!</definedName>
    <definedName name="_819FA">#REF!</definedName>
    <definedName name="_819PK">#REF!</definedName>
    <definedName name="_82FA">#REF!</definedName>
    <definedName name="_82PK">#REF!</definedName>
    <definedName name="_83FA">#REF!</definedName>
    <definedName name="_83PK">#REF!</definedName>
    <definedName name="_841FA">#REF!</definedName>
    <definedName name="_841PK">#REF!</definedName>
    <definedName name="_842FA">#REF!</definedName>
    <definedName name="_842PK">#REF!</definedName>
    <definedName name="_843FA">#REF!</definedName>
    <definedName name="_843PK">#REF!</definedName>
    <definedName name="_844FA">#REF!</definedName>
    <definedName name="_844PK">#REF!</definedName>
    <definedName name="_845FA">#REF!</definedName>
    <definedName name="_845PK">#REF!</definedName>
    <definedName name="_9">#REF!</definedName>
    <definedName name="_AAD3">#N/A</definedName>
    <definedName name="_abs100">#REF!</definedName>
    <definedName name="_ADD1">#N/A</definedName>
    <definedName name="_ADD2">#N/A</definedName>
    <definedName name="_ADD3">#N/A</definedName>
    <definedName name="_ahu100">#REF!</definedName>
    <definedName name="_ahu150">#REF!</definedName>
    <definedName name="_ako100">#REF!</definedName>
    <definedName name="_ako150">#REF!</definedName>
    <definedName name="_ako50">#REF!</definedName>
    <definedName name="_ana103">#REF!</definedName>
    <definedName name="_ana104">#REF!</definedName>
    <definedName name="_ana105">#REF!</definedName>
    <definedName name="_ana106">#REF!</definedName>
    <definedName name="_ana107">#REF!</definedName>
    <definedName name="_ana108">#REF!</definedName>
    <definedName name="_ana109">#REF!</definedName>
    <definedName name="_ana11">#REF!</definedName>
    <definedName name="_ana110">#REF!</definedName>
    <definedName name="_ana111">#REF!</definedName>
    <definedName name="_ana112">#REF!</definedName>
    <definedName name="_ana113">#REF!</definedName>
    <definedName name="_ana114">#REF!</definedName>
    <definedName name="_ana115">#REF!</definedName>
    <definedName name="_ana116">#REF!</definedName>
    <definedName name="_ana117">#REF!</definedName>
    <definedName name="_ana118">#REF!</definedName>
    <definedName name="_ana119">#REF!</definedName>
    <definedName name="_ana12">#REF!</definedName>
    <definedName name="_ana120">#REF!</definedName>
    <definedName name="_ana121">#REF!</definedName>
    <definedName name="_ana122">#REF!</definedName>
    <definedName name="_ana123">#REF!</definedName>
    <definedName name="_ana124">#REF!</definedName>
    <definedName name="_ana13">#REF!</definedName>
    <definedName name="_ana14">#REF!</definedName>
    <definedName name="_ana15">#REF!</definedName>
    <definedName name="_ana16">#REF!</definedName>
    <definedName name="_ana17">#REF!</definedName>
    <definedName name="_ana18">#REF!</definedName>
    <definedName name="_ana19">#REF!</definedName>
    <definedName name="_ana2">#REF!</definedName>
    <definedName name="_ana20">#REF!</definedName>
    <definedName name="_ana21">#REF!</definedName>
    <definedName name="_ana22">#REF!</definedName>
    <definedName name="_ana23">#REF!</definedName>
    <definedName name="_ana24">#REF!</definedName>
    <definedName name="_ana25">#REF!</definedName>
    <definedName name="_ana26">#REF!</definedName>
    <definedName name="_ana27">#REF!</definedName>
    <definedName name="_ana28">#REF!</definedName>
    <definedName name="_ana29">#REF!</definedName>
    <definedName name="_ana3">#REF!</definedName>
    <definedName name="_ana30">#REF!</definedName>
    <definedName name="_ana31">#REF!</definedName>
    <definedName name="_ana32">#REF!</definedName>
    <definedName name="_ana33">#REF!</definedName>
    <definedName name="_ana34">#REF!</definedName>
    <definedName name="_ana35">#REF!</definedName>
    <definedName name="_ana36">#REF!</definedName>
    <definedName name="_ana37">#REF!</definedName>
    <definedName name="_ana38">#REF!</definedName>
    <definedName name="_ana39">#REF!</definedName>
    <definedName name="_ana4">#REF!</definedName>
    <definedName name="_ana40">#REF!</definedName>
    <definedName name="_ana41">#REF!</definedName>
    <definedName name="_ana42">#REF!</definedName>
    <definedName name="_ana43">#REF!</definedName>
    <definedName name="_ana44">#REF!</definedName>
    <definedName name="_ana45">#REF!</definedName>
    <definedName name="_ana46">#REF!</definedName>
    <definedName name="_ana47">#REF!</definedName>
    <definedName name="_ana48">#REF!</definedName>
    <definedName name="_ana49">#REF!</definedName>
    <definedName name="_ana5">#REF!</definedName>
    <definedName name="_ana50">#REF!</definedName>
    <definedName name="_ana51">#REF!</definedName>
    <definedName name="_ana52">#REF!</definedName>
    <definedName name="_ana53">#REF!</definedName>
    <definedName name="_ana54">#REF!</definedName>
    <definedName name="_ana55">#REF!</definedName>
    <definedName name="_ana56">#REF!</definedName>
    <definedName name="_ana57">#REF!</definedName>
    <definedName name="_ana58">#REF!</definedName>
    <definedName name="_ana59">#REF!</definedName>
    <definedName name="_ana6">#REF!</definedName>
    <definedName name="_ana60">#REF!</definedName>
    <definedName name="_ana61">#REF!</definedName>
    <definedName name="_ana62">#REF!</definedName>
    <definedName name="_ana63">#REF!</definedName>
    <definedName name="_ana64">#REF!</definedName>
    <definedName name="_ana65">#REF!</definedName>
    <definedName name="_ana66">#REF!</definedName>
    <definedName name="_ana67">#REF!</definedName>
    <definedName name="_ana68">#REF!</definedName>
    <definedName name="_ana69">#REF!</definedName>
    <definedName name="_ana7">#REF!</definedName>
    <definedName name="_ana70">#REF!</definedName>
    <definedName name="_ana71">#REF!</definedName>
    <definedName name="_ana72">#REF!</definedName>
    <definedName name="_ana73">#REF!</definedName>
    <definedName name="_ana74">#REF!</definedName>
    <definedName name="_ana75">#REF!</definedName>
    <definedName name="_ana76">#REF!</definedName>
    <definedName name="_ana77">#REF!</definedName>
    <definedName name="_ana78">#REF!</definedName>
    <definedName name="_ana79">#REF!</definedName>
    <definedName name="_ana8">#REF!</definedName>
    <definedName name="_ana80">#REF!</definedName>
    <definedName name="_ana81">#REF!</definedName>
    <definedName name="_ana82">#REF!</definedName>
    <definedName name="_ana83">#REF!</definedName>
    <definedName name="_ana84">#REF!</definedName>
    <definedName name="_ana85">#REF!</definedName>
    <definedName name="_ana86">#REF!</definedName>
    <definedName name="_ana87">#REF!</definedName>
    <definedName name="_ana88">#REF!</definedName>
    <definedName name="_ana89">#REF!</definedName>
    <definedName name="_ana9">#REF!</definedName>
    <definedName name="_ana90">#REF!</definedName>
    <definedName name="_ana91">#REF!</definedName>
    <definedName name="_ana92">#REF!</definedName>
    <definedName name="_ana93">#REF!</definedName>
    <definedName name="_ana94">#REF!</definedName>
    <definedName name="_ana95">#REF!</definedName>
    <definedName name="_ana96">#REF!</definedName>
    <definedName name="_ana97">#REF!</definedName>
    <definedName name="_ana98">#REF!</definedName>
    <definedName name="_ana99">#REF!</definedName>
    <definedName name="_ATB1">#REF!</definedName>
    <definedName name="_ATB2">#REF!</definedName>
    <definedName name="_ATB3">#REF!</definedName>
    <definedName name="_ATB4">#REF!</definedName>
    <definedName name="_bcv100">#REF!</definedName>
    <definedName name="_bcv125">#REF!</definedName>
    <definedName name="_bcv150">#REF!</definedName>
    <definedName name="_BOX2">#REF!</definedName>
    <definedName name="_bsd4000">#REF!</definedName>
    <definedName name="_bvd5">#REF!</definedName>
    <definedName name="_bvd8">#REF!</definedName>
    <definedName name="_C2">#REF!</definedName>
    <definedName name="_C3">#REF!</definedName>
    <definedName name="_C4">#REF!</definedName>
    <definedName name="_C5">#REF!</definedName>
    <definedName name="_C6">#REF!</definedName>
    <definedName name="_C7">#REF!</definedName>
    <definedName name="_C8">#REF!</definedName>
    <definedName name="_C9">#REF!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17">#REF!</definedName>
    <definedName name="_CAL18">#REF!</definedName>
    <definedName name="_CAL19">#REF!</definedName>
    <definedName name="_CAL2">#REF!</definedName>
    <definedName name="_CAL20">#REF!</definedName>
    <definedName name="_CAL21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CH1..H1___C__R">#REF!</definedName>
    <definedName name="_CH11..H11___C_">#REF!</definedName>
    <definedName name="_CH13..H13___C_">#REF!</definedName>
    <definedName name="_CH15..H15___C_">#REF!</definedName>
    <definedName name="_CH17..H17___C_">#REF!</definedName>
    <definedName name="_CH19..H19___C_">#REF!</definedName>
    <definedName name="_CH21..H21___C_">#REF!</definedName>
    <definedName name="_CH23..H23___C_">#REF!</definedName>
    <definedName name="_CH25..H25___C_">#REF!</definedName>
    <definedName name="_CH27..H27___C_">#REF!</definedName>
    <definedName name="_CH29..H29___C_">#REF!</definedName>
    <definedName name="_CH3..H3___C__R">#REF!</definedName>
    <definedName name="_CH31..H31___C_">#REF!</definedName>
    <definedName name="_CH33..H33___C_">#REF!</definedName>
    <definedName name="_CH35..H35___C_">#REF!</definedName>
    <definedName name="_CH37..H37___C_">#REF!</definedName>
    <definedName name="_CH39..H39___C_">#REF!</definedName>
    <definedName name="_CH41..H41___C_">#REF!</definedName>
    <definedName name="_CH43..H43___C_">#REF!</definedName>
    <definedName name="_CH45..H45___C_">#REF!</definedName>
    <definedName name="_CH5..H5___C__R">#REF!</definedName>
    <definedName name="_CH7..H7___C__R">#REF!</definedName>
    <definedName name="_CH9..H9___C__R">#REF!</definedName>
    <definedName name="_cip8">#REF!</definedName>
    <definedName name="_cvd100">#REF!</definedName>
    <definedName name="_cvd15">#REF!</definedName>
    <definedName name="_cvd150">#REF!</definedName>
    <definedName name="_cvd50">#REF!</definedName>
    <definedName name="_cvd65">#REF!</definedName>
    <definedName name="_D">#REF!</definedName>
    <definedName name="_daf1">#REF!</definedName>
    <definedName name="_DAF10">#REF!</definedName>
    <definedName name="_daf2">#REF!</definedName>
    <definedName name="_daf31">#REF!</definedName>
    <definedName name="_daf32">#REF!</definedName>
    <definedName name="_daf33">#REF!</definedName>
    <definedName name="_ddn400">#REF!</definedName>
    <definedName name="_ddn600">#REF!</definedName>
    <definedName name="_Dist_Values" hidden="1">#REF!</definedName>
    <definedName name="_DIV1">'[3]Kuantitas &amp; Harga'!$G$29</definedName>
    <definedName name="_DIV10">#REF!</definedName>
    <definedName name="_DIV11">#REF!</definedName>
    <definedName name="_DIV2">#REF!</definedName>
    <definedName name="_DIV3">#REF!</definedName>
    <definedName name="_DIV4">#REF!</definedName>
    <definedName name="_DIV5">#REF!</definedName>
    <definedName name="_DIV6">#REF!</definedName>
    <definedName name="_DIV7">#REF!</definedName>
    <definedName name="_DIV8">#REF!</definedName>
    <definedName name="_DIV9">#REF!</definedName>
    <definedName name="_EEE06">[4]Peralatan!$F$9</definedName>
    <definedName name="_EEE08">[4]Peralatan!$F$10</definedName>
    <definedName name="_EEE09">'[2]5-ALAT(1)'!$AW$16</definedName>
    <definedName name="_EEE10">'[2]5-ALAT(1)'!$AW$17</definedName>
    <definedName name="_EEE15">[4]Peralatan!$F$14</definedName>
    <definedName name="_EEE23">[4]Peralatan!$F$20</definedName>
    <definedName name="_EQU1">#REF!</definedName>
    <definedName name="_EQU2">#REF!</definedName>
    <definedName name="_fdu2">#REF!</definedName>
    <definedName name="_Fill" hidden="1">#REF!</definedName>
    <definedName name="_FIT100">#REF!</definedName>
    <definedName name="_fit125">#REF!</definedName>
    <definedName name="_FIT150">#REF!</definedName>
    <definedName name="_FIT200">#REF!</definedName>
    <definedName name="_FIT300">#REF!</definedName>
    <definedName name="_FIT65">#REF!</definedName>
    <definedName name="_fit80">#REF!</definedName>
    <definedName name="_fjd100">#REF!</definedName>
    <definedName name="_fjd150">#REF!</definedName>
    <definedName name="_fjd50">#REF!</definedName>
    <definedName name="_fjd65">#REF!</definedName>
    <definedName name="_fmd150">#REF!</definedName>
    <definedName name="_gk2" hidden="1">#REF!</definedName>
    <definedName name="_grc1">#REF!</definedName>
    <definedName name="_gti50">#REF!</definedName>
    <definedName name="_gti60">#REF!</definedName>
    <definedName name="_gvd100">#REF!</definedName>
    <definedName name="_gvd15">#REF!</definedName>
    <definedName name="_gvd150">#REF!</definedName>
    <definedName name="_gvd2">#REF!</definedName>
    <definedName name="_gvd25">#REF!</definedName>
    <definedName name="_gvd3">#REF!</definedName>
    <definedName name="_gvd4">#REF!</definedName>
    <definedName name="_gvd5">#REF!</definedName>
    <definedName name="_gvd50">#REF!</definedName>
    <definedName name="_gvd6">#REF!</definedName>
    <definedName name="_gvd65">#REF!</definedName>
    <definedName name="_gvd8">#REF!</definedName>
    <definedName name="_HAL1">#REF!</definedName>
    <definedName name="_HAL2">#REF!</definedName>
    <definedName name="_HAL3">#REF!</definedName>
    <definedName name="_HAL4">#REF!</definedName>
    <definedName name="_HAL5">#REF!</definedName>
    <definedName name="_HAL6">#REF!</definedName>
    <definedName name="_HAL7">#REF!</definedName>
    <definedName name="_HAL8">#REF!</definedName>
    <definedName name="_hdw1">#REF!</definedName>
    <definedName name="_jum1">#REF!</definedName>
    <definedName name="_jum10">#REF!</definedName>
    <definedName name="_jum2">#REF!</definedName>
    <definedName name="_jum3">#REF!</definedName>
    <definedName name="_jum4">#REF!</definedName>
    <definedName name="_jum5">#REF!</definedName>
    <definedName name="_jum6">#REF!</definedName>
    <definedName name="_jum7">#REF!</definedName>
    <definedName name="_jum8">#REF!</definedName>
    <definedName name="_jum9">#REF!</definedName>
    <definedName name="_k.125">#REF!</definedName>
    <definedName name="_k.175">#REF!</definedName>
    <definedName name="_k.225">#REF!</definedName>
    <definedName name="_kco7">#REF!</definedName>
    <definedName name="_ke1">#REF!</definedName>
    <definedName name="_ke2">#REF!</definedName>
    <definedName name="_ke3">#REF!</definedName>
    <definedName name="_ke4">#REF!</definedName>
    <definedName name="_ld60">#REF!</definedName>
    <definedName name="_ld80">#REF!</definedName>
    <definedName name="_ldp60">#REF!</definedName>
    <definedName name="_lh50">#REF!</definedName>
    <definedName name="_LLL01">'[4]Basic Price'!$F$8</definedName>
    <definedName name="_LLL03">'[4]Basic Price'!$F$10</definedName>
    <definedName name="_M">#REF!</definedName>
    <definedName name="_MAC12">#REF!</definedName>
    <definedName name="_MAC46">#REF!</definedName>
    <definedName name="_MDE35">'[5]Peralatan (2)'!$R$27</definedName>
    <definedName name="_MDE41">#REF!</definedName>
    <definedName name="_MDE42">#REF!</definedName>
    <definedName name="_MDE43">#REF!</definedName>
    <definedName name="_MDE44">#REF!</definedName>
    <definedName name="_MDE45">#REF!</definedName>
    <definedName name="_MDE46">#REF!</definedName>
    <definedName name="_MDE47">#REF!</definedName>
    <definedName name="_MDE48">#REF!</definedName>
    <definedName name="_MDE49">#REF!</definedName>
    <definedName name="_MDE50">#REF!</definedName>
    <definedName name="_MDE51">#REF!</definedName>
    <definedName name="_MDE52">#REF!</definedName>
    <definedName name="_MDE53">#REF!</definedName>
    <definedName name="_MDE54">#REF!</definedName>
    <definedName name="_MDE55">#REF!</definedName>
    <definedName name="_MDE56">#REF!</definedName>
    <definedName name="_MDE57">#REF!</definedName>
    <definedName name="_MDE58">#REF!</definedName>
    <definedName name="_MDE59">#REF!</definedName>
    <definedName name="_MDE60">#REF!</definedName>
    <definedName name="_MDE61">#REF!</definedName>
    <definedName name="_MDE62">#REF!</definedName>
    <definedName name="_MDE63">#REF!</definedName>
    <definedName name="_MDE64">#REF!</definedName>
    <definedName name="_MDE65">#REF!</definedName>
    <definedName name="_MDE66">#REF!</definedName>
    <definedName name="_MDE67">#REF!</definedName>
    <definedName name="_MDE68">#REF!</definedName>
    <definedName name="_ME35">'[5]Peralatan (2)'!$R$26</definedName>
    <definedName name="_ME46">#REF!</definedName>
    <definedName name="_ME47">#REF!</definedName>
    <definedName name="_ME48">#REF!</definedName>
    <definedName name="_ME49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s1">#REF!</definedName>
    <definedName name="_mes2">#REF!</definedName>
    <definedName name="_mg8">#REF!</definedName>
    <definedName name="_MMM02">'[4]Basic Price'!$F$33</definedName>
    <definedName name="_MMM03">'[4]Basic Price'!$F$34</definedName>
    <definedName name="_MMM04">[6]Basic!$F$44</definedName>
    <definedName name="_MMM06">[6]Basic!$F$47</definedName>
    <definedName name="_MMM07">[6]Basic!$F$50</definedName>
    <definedName name="_MMM10">'[2]4-Basic Price'!$F$60</definedName>
    <definedName name="_MMM12">'[4]Basic Price'!$F$42</definedName>
    <definedName name="_MMM14">[6]Basic!$F$58</definedName>
    <definedName name="_MMM18">'[4]Basic Price'!$F$45</definedName>
    <definedName name="_MMM19">'[4]Basic Price'!$F$46</definedName>
    <definedName name="_MMM39">[6]Basic!$F$77</definedName>
    <definedName name="_MMM57">#REF!</definedName>
    <definedName name="_MMM58">#REF!</definedName>
    <definedName name="_MMM59">#REF!</definedName>
    <definedName name="_MMM60">#REF!</definedName>
    <definedName name="_MMM61">#REF!</definedName>
    <definedName name="_MMM62">#REF!</definedName>
    <definedName name="_MMM63">#REF!</definedName>
    <definedName name="_MMM64">#REF!</definedName>
    <definedName name="_MMM65">#REF!</definedName>
    <definedName name="_MMM66">#REF!</definedName>
    <definedName name="_MOB1">#REF!</definedName>
    <definedName name="_MOB2">#REF!</definedName>
    <definedName name="_mvd2">#REF!</definedName>
    <definedName name="_mvd3">#REF!</definedName>
    <definedName name="_mvd4">#REF!</definedName>
    <definedName name="_NCL100">#REF!</definedName>
    <definedName name="_NCL200">#REF!</definedName>
    <definedName name="_NCL250">#REF!</definedName>
    <definedName name="_nin190">#REF!</definedName>
    <definedName name="_nym34">#REF!</definedName>
    <definedName name="_nym46">#REF!</definedName>
    <definedName name="_nyy2416">#REF!</definedName>
    <definedName name="_nyy244">#REF!</definedName>
    <definedName name="_nyy246">#REF!</definedName>
    <definedName name="_nyy34">#REF!</definedName>
    <definedName name="_nyy410">#REF!</definedName>
    <definedName name="_nyy41010">#REF!</definedName>
    <definedName name="_nyy412050">#REF!</definedName>
    <definedName name="_nyy412070">#REF!</definedName>
    <definedName name="_nyy415070">#REF!</definedName>
    <definedName name="_nyy416">#REF!</definedName>
    <definedName name="_nyy41616">#REF!</definedName>
    <definedName name="_nyy42525">#REF!</definedName>
    <definedName name="_nyy43535">#REF!</definedName>
    <definedName name="_nyy44">#REF!</definedName>
    <definedName name="_nyy444">#REF!</definedName>
    <definedName name="_nyy45050">#REF!</definedName>
    <definedName name="_nyy46">#REF!</definedName>
    <definedName name="_nyy466">#REF!</definedName>
    <definedName name="_nyy47050">#REF!</definedName>
    <definedName name="_nyy47070">#REF!</definedName>
    <definedName name="_nyy49570">#REF!</definedName>
    <definedName name="_Order1" hidden="1">0</definedName>
    <definedName name="_Order2" hidden="1">255</definedName>
    <definedName name="_PA1">#REF!</definedName>
    <definedName name="_PA10">#REF!</definedName>
    <definedName name="_PA2">#REF!</definedName>
    <definedName name="_PA3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b125">#REF!</definedName>
    <definedName name="_pab15">#REF!</definedName>
    <definedName name="_pab150">#REF!</definedName>
    <definedName name="_pab2">#REF!</definedName>
    <definedName name="_pab20">#REF!</definedName>
    <definedName name="_pab25">#REF!</definedName>
    <definedName name="_pab65">#REF!</definedName>
    <definedName name="_pab80">#REF!</definedName>
    <definedName name="_pah150">#REF!</definedName>
    <definedName name="_pak100">#REF!</definedName>
    <definedName name="_pbf3">#REF!</definedName>
    <definedName name="_pbf4">#REF!</definedName>
    <definedName name="_PBK175">#REF!</definedName>
    <definedName name="_PBK225">#REF!</definedName>
    <definedName name="_pbs100">#REF!</definedName>
    <definedName name="_pbs15">#REF!</definedName>
    <definedName name="_pbs150">#REF!</definedName>
    <definedName name="_pbs40">#REF!</definedName>
    <definedName name="_pbs50">#REF!</definedName>
    <definedName name="_pbs65">#REF!</definedName>
    <definedName name="_pbs80">#REF!</definedName>
    <definedName name="_pc1">#REF!</definedName>
    <definedName name="_pc10">#REF!</definedName>
    <definedName name="_pc12">#REF!</definedName>
    <definedName name="_pc50">#REF!</definedName>
    <definedName name="_pc80">#REF!</definedName>
    <definedName name="_pcf12">#REF!</definedName>
    <definedName name="_pcf3">#REF!</definedName>
    <definedName name="_pcf4">#REF!</definedName>
    <definedName name="_pcf5">#REF!</definedName>
    <definedName name="_pcf6">#REF!</definedName>
    <definedName name="_pcf8">#REF!</definedName>
    <definedName name="_pv100">#REF!</definedName>
    <definedName name="_pvc44">#REF!</definedName>
    <definedName name="_QS1">#REF!</definedName>
    <definedName name="_QS10">#REF!</definedName>
    <definedName name="_QS11">#REF!</definedName>
    <definedName name="_QS12">#REF!</definedName>
    <definedName name="_QS13">#REF!</definedName>
    <definedName name="_QS14">#REF!</definedName>
    <definedName name="_QS15">#REF!</definedName>
    <definedName name="_QS16">#REF!</definedName>
    <definedName name="_QS17">#REF!</definedName>
    <definedName name="_QS18">#REF!</definedName>
    <definedName name="_QS19">#REF!</definedName>
    <definedName name="_QS2">#REF!</definedName>
    <definedName name="_QS20">#REF!</definedName>
    <definedName name="_QS21">#REF!</definedName>
    <definedName name="_QS3">#REF!</definedName>
    <definedName name="_QS4">#REF!</definedName>
    <definedName name="_QS5">#REF!</definedName>
    <definedName name="_QS6">#REF!</definedName>
    <definedName name="_QS7">#REF!</definedName>
    <definedName name="_QS8">#REF!</definedName>
    <definedName name="_QS9">#REF!</definedName>
    <definedName name="_rd1">#REF!</definedName>
    <definedName name="_rd2">#REF!</definedName>
    <definedName name="_rd3">#REF!</definedName>
    <definedName name="_rd4">#REF!</definedName>
    <definedName name="_rd6">#REF!</definedName>
    <definedName name="_rd8">#REF!</definedName>
    <definedName name="_rk100">#REF!</definedName>
    <definedName name="_rk150">#REF!</definedName>
    <definedName name="_rk200">#REF!</definedName>
    <definedName name="_rk300">#REF!</definedName>
    <definedName name="_rk400">#REF!</definedName>
    <definedName name="_rk500">#REF!</definedName>
    <definedName name="_rk600">#REF!</definedName>
    <definedName name="_rkl1000">#REF!</definedName>
    <definedName name="_rkl1200">#REF!</definedName>
    <definedName name="_rkl200">#REF!</definedName>
    <definedName name="_rkl300">#REF!</definedName>
    <definedName name="_rkl400">#REF!</definedName>
    <definedName name="_rkl500">#REF!</definedName>
    <definedName name="_rkl600">#REF!</definedName>
    <definedName name="_rkl700">#REF!</definedName>
    <definedName name="_rkl800">#REF!</definedName>
    <definedName name="_S">#REF!</definedName>
    <definedName name="_S_6">#REF!</definedName>
    <definedName name="_sc1">#REF!</definedName>
    <definedName name="_SC2">#REF!</definedName>
    <definedName name="_sc3">#REF!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fv150">#REF!</definedName>
    <definedName name="_sh1040">#REF!</definedName>
    <definedName name="_std100">#REF!</definedName>
    <definedName name="_std150">#REF!</definedName>
    <definedName name="_std2">#REF!</definedName>
    <definedName name="_std3">#REF!</definedName>
    <definedName name="_std4">#REF!</definedName>
    <definedName name="_std50">#REF!</definedName>
    <definedName name="_std65">#REF!</definedName>
    <definedName name="_SUM1">#REF!</definedName>
    <definedName name="_SUM2">#REF!</definedName>
    <definedName name="_SUM3">#REF!</definedName>
    <definedName name="_TA90">#REF!</definedName>
    <definedName name="_TLA50">#REF!</definedName>
    <definedName name="_TLA70">#REF!</definedName>
    <definedName name="_TLA95">#REF!</definedName>
    <definedName name="_tlc20">#REF!</definedName>
    <definedName name="_TOP2">#REF!</definedName>
    <definedName name="_tsv25">#REF!</definedName>
    <definedName name="_vcd3">#REF!</definedName>
    <definedName name="_vcd4">#REF!</definedName>
    <definedName name="_VL100">#REF!</definedName>
    <definedName name="_VL200">#REF!</definedName>
    <definedName name="_VL250">#REF!</definedName>
    <definedName name="A">#REF!</definedName>
    <definedName name="A.18">#REF!</definedName>
    <definedName name="A.2">#REF!</definedName>
    <definedName name="A.6.1.2">#REF!</definedName>
    <definedName name="A.6.3.5">#REF!</definedName>
    <definedName name="A.7.1.2.b">#REF!</definedName>
    <definedName name="A.7.1.4">#REF!</definedName>
    <definedName name="A.7.2">#REF!</definedName>
    <definedName name="A.8.1.5">#REF!</definedName>
    <definedName name="A.8.6.1.a">#REF!</definedName>
    <definedName name="A.8.7.2">#REF!</definedName>
    <definedName name="A_1">#REF!</definedName>
    <definedName name="A_2">#REF!</definedName>
    <definedName name="a1..2349">#REF!</definedName>
    <definedName name="A1_">#REF!</definedName>
    <definedName name="A10_">#REF!</definedName>
    <definedName name="A11_">#REF!</definedName>
    <definedName name="A12_">#REF!</definedName>
    <definedName name="A120_">#REF!</definedName>
    <definedName name="A13_">#REF!</definedName>
    <definedName name="A2_">#REF!</definedName>
    <definedName name="A3_">#REF!</definedName>
    <definedName name="A35_">#REF!</definedName>
    <definedName name="A4_">#REF!</definedName>
    <definedName name="A460.">#REF!</definedName>
    <definedName name="A5_">#REF!</definedName>
    <definedName name="A50_">#REF!</definedName>
    <definedName name="A6_">#REF!</definedName>
    <definedName name="A7_">#REF!</definedName>
    <definedName name="A70_">#REF!</definedName>
    <definedName name="A8_">#REF!</definedName>
    <definedName name="A9_">#REF!</definedName>
    <definedName name="A901.">#REF!</definedName>
    <definedName name="A95_">#REF!</definedName>
    <definedName name="aa">[7]analis!$J$76</definedName>
    <definedName name="aaa">[6]Alat!$AM$25</definedName>
    <definedName name="aax">#REF!</definedName>
    <definedName name="ab">#REF!</definedName>
    <definedName name="abch100">#REF!</definedName>
    <definedName name="aber100">#REF!</definedName>
    <definedName name="aber15">#REF!</definedName>
    <definedName name="Aber150">#REF!</definedName>
    <definedName name="aber2">#REF!</definedName>
    <definedName name="ABX">#REF!</definedName>
    <definedName name="AC_1">#REF!</definedName>
    <definedName name="AC_2">#REF!</definedName>
    <definedName name="AC_3">#REF!</definedName>
    <definedName name="Acian_12">#REF!</definedName>
    <definedName name="Acian_Mill">#REF!</definedName>
    <definedName name="Acian_Peplhnmill">#REF!</definedName>
    <definedName name="Acian_Ppalihn12">#REF!</definedName>
    <definedName name="Acian12">#REF!</definedName>
    <definedName name="Acianmill">#REF!</definedName>
    <definedName name="Acianpepalihan12">#REF!</definedName>
    <definedName name="Acianpepalmill">#REF!</definedName>
    <definedName name="ACX">#REF!</definedName>
    <definedName name="ada">[8]analis!$J$658</definedName>
    <definedName name="ADDR">#N/A</definedName>
    <definedName name="ADX">#REF!</definedName>
    <definedName name="AGREGAT">#REF!</definedName>
    <definedName name="AGREGATA">#REF!</definedName>
    <definedName name="AGREGATB">#REF!</definedName>
    <definedName name="AGREGATC">#REF!</definedName>
    <definedName name="ahrd100">#REF!</definedName>
    <definedName name="ahrd150">#REF!</definedName>
    <definedName name="AHS">#REF!</definedName>
    <definedName name="ahuf100">#REF!</definedName>
    <definedName name="ahuf150">#REF!</definedName>
    <definedName name="ahuf150ahuf150">#REF!</definedName>
    <definedName name="Alat">#N/A</definedName>
    <definedName name="ALL">#REF!</definedName>
    <definedName name="Aluminium_poil">#REF!</definedName>
    <definedName name="ALUT">#REF!</definedName>
    <definedName name="ANADC">#REF!</definedName>
    <definedName name="ANAKMC">#REF!</definedName>
    <definedName name="ANALAN">#REF!</definedName>
    <definedName name="Analisa101B">#REF!</definedName>
    <definedName name="Analisa101E">#REF!</definedName>
    <definedName name="analisas">#REF!</definedName>
    <definedName name="ANALOGO">#REF!</definedName>
    <definedName name="ANASEL">#REF!</definedName>
    <definedName name="ANAYOL">#REF!</definedName>
    <definedName name="angka">#REF!</definedName>
    <definedName name="AnPAB1">#REF!</definedName>
    <definedName name="AnPAB2">#REF!</definedName>
    <definedName name="arsitektur">#REF!</definedName>
    <definedName name="artdinding1">#REF!</definedName>
    <definedName name="ARTDINDING2">#REF!</definedName>
    <definedName name="artdinding3">#REF!</definedName>
    <definedName name="artkusenpintu1">#REF!</definedName>
    <definedName name="ARTKUSENPINTU2">#REF!</definedName>
    <definedName name="artkusenpintu3">#REF!</definedName>
    <definedName name="artlantai1">#REF!</definedName>
    <definedName name="ARTLANTAI2">#REF!</definedName>
    <definedName name="ARTLANTAI3">#REF!</definedName>
    <definedName name="artpengecatan1">#REF!</definedName>
    <definedName name="artpengecatan2">#REF!</definedName>
    <definedName name="artpengecatan3">#REF!</definedName>
    <definedName name="artperlengkapan1">#REF!</definedName>
    <definedName name="artperlengkapan2">#REF!</definedName>
    <definedName name="artperlengkapan3">#REF!</definedName>
    <definedName name="artplafond1">#REF!</definedName>
    <definedName name="artplafond2">#REF!</definedName>
    <definedName name="artplafond3">#REF!</definedName>
    <definedName name="artsanitair1">#REF!</definedName>
    <definedName name="artsanitair2">#REF!</definedName>
    <definedName name="artsanitair3">#REF!</definedName>
    <definedName name="as">#REF!</definedName>
    <definedName name="ASD">#N/A</definedName>
    <definedName name="Asoal">#REF!</definedName>
    <definedName name="ASPAL">#REF!</definedName>
    <definedName name="Atap_Asbes">#REF!</definedName>
    <definedName name="Atap_Biasa">#REF!</definedName>
    <definedName name="ATAP_GENTENG_BIASA">#REF!</definedName>
    <definedName name="ATAP_GENTENG_METAL_BERPASIR">#REF!</definedName>
    <definedName name="Atap_Gnteng_Kramik">#REF!</definedName>
    <definedName name="Atap_Jtiwangi">#REF!</definedName>
    <definedName name="Atapbiasa">#REF!</definedName>
    <definedName name="Atapgenteng">#REF!</definedName>
    <definedName name="Atapjtiwangi">#REF!</definedName>
    <definedName name="ATB">#REF!</definedName>
    <definedName name="atb.2">#REF!</definedName>
    <definedName name="atbl">#REF!</definedName>
    <definedName name="atbl.1">#REF!</definedName>
    <definedName name="atbl.2">#REF!</definedName>
    <definedName name="atbl.3">#REF!</definedName>
    <definedName name="ato" hidden="1">{#N/A,#N/A,FALSE,"REK-S-TPL";#N/A,#N/A,FALSE,"REK-TPML";#N/A,#N/A,FALSE,"RAB-TEMPEL"}</definedName>
    <definedName name="aw">[7]analis!$J$10</definedName>
    <definedName name="b">#REF!</definedName>
    <definedName name="B.109.">[9]D.109!$B$1:$L$34,[9]D.109!$N$35:$U$69</definedName>
    <definedName name="B.12">#REF!</definedName>
    <definedName name="B_1">#REF!</definedName>
    <definedName name="B2_">#REF!</definedName>
    <definedName name="B3_">#REF!</definedName>
    <definedName name="b3040b160">#REF!</definedName>
    <definedName name="B4_">#REF!</definedName>
    <definedName name="B5_">#REF!</definedName>
    <definedName name="B6_">#REF!</definedName>
    <definedName name="B7_">#REF!</definedName>
    <definedName name="B8_">#REF!</definedName>
    <definedName name="B9_">#REF!</definedName>
    <definedName name="BAHAN">#REF!</definedName>
    <definedName name="BAHAN1">#REF!</definedName>
    <definedName name="BAHAN2">#REF!</definedName>
    <definedName name="BAHAN3">#REF!</definedName>
    <definedName name="BAHANATAP">#REF!</definedName>
    <definedName name="bahanbesi">#REF!</definedName>
    <definedName name="BAHANFINISHING">#REF!</definedName>
    <definedName name="BahanK">#REF!</definedName>
    <definedName name="BAHANKAYUDANKACA">#REF!</definedName>
    <definedName name="BAHANLAIN2">#REF!</definedName>
    <definedName name="BAHANLISTRIK">#REF!</definedName>
    <definedName name="BAHANMINYAK">#REF!</definedName>
    <definedName name="BAHANORNAMEN">#REF!</definedName>
    <definedName name="BAHANPAKU">#REF!</definedName>
    <definedName name="BAHANPASANGAN">#REF!</definedName>
    <definedName name="BAHANPENGGANTUNGDANPENGUNCI">#REF!</definedName>
    <definedName name="BAHANPLAFONDDANLANTAI">#REF!</definedName>
    <definedName name="BAHANSANITAIR">#REF!</definedName>
    <definedName name="BAHANURUGAN">#REF!</definedName>
    <definedName name="BAHU">#REF!</definedName>
    <definedName name="BAJA">#REF!</definedName>
    <definedName name="Baja_Canal_U_50.38.5">#REF!</definedName>
    <definedName name="bajatul">#REF!</definedName>
    <definedName name="bajau.24">#REF!</definedName>
    <definedName name="Bak_air_fiber_glass_1m">#REF!</definedName>
    <definedName name="BAK_KONTROL_45X45X50">#REF!</definedName>
    <definedName name="Bak_mandi_fiber_glass_50x50x50_lapis_porselin">#REF!</definedName>
    <definedName name="Bak_Septictank">#REF!</definedName>
    <definedName name="BAK_ZINK">#REF!</definedName>
    <definedName name="bakair">#REF!</definedName>
    <definedName name="Bale">#REF!</definedName>
    <definedName name="BALOK_100KG">#REF!</definedName>
    <definedName name="BALOK_110KG">#REF!</definedName>
    <definedName name="BALOK_120KG">#REF!</definedName>
    <definedName name="BALOK_130KG">#REF!</definedName>
    <definedName name="BALOK_140KG">#REF!</definedName>
    <definedName name="BALOK_150KG">#REF!</definedName>
    <definedName name="BALOK_160KG">#REF!</definedName>
    <definedName name="BALOK_170KG">#REF!</definedName>
    <definedName name="BALOK_180KG">#REF!</definedName>
    <definedName name="BALOK_190KG">#REF!</definedName>
    <definedName name="BALOK_200KG">#REF!</definedName>
    <definedName name="BALOK_210KG">#REF!</definedName>
    <definedName name="BALOK_220KG">#REF!</definedName>
    <definedName name="BALOK_230KG">#REF!</definedName>
    <definedName name="BALOK_240KG">#REF!</definedName>
    <definedName name="BALOK_250KG">#REF!</definedName>
    <definedName name="BALOK_260KG">#REF!</definedName>
    <definedName name="BALOK_270KG">#REF!</definedName>
    <definedName name="BALOK_280KG">#REF!</definedName>
    <definedName name="BALOK_290KG">#REF!</definedName>
    <definedName name="BALOK_300KG">#REF!</definedName>
    <definedName name="BALOK_310KG">#REF!</definedName>
    <definedName name="BALOK_320KG">#REF!</definedName>
    <definedName name="BALOK_330KG">#REF!</definedName>
    <definedName name="BALOK_340KG">#REF!</definedName>
    <definedName name="BALOK_350KG">#REF!</definedName>
    <definedName name="balok2030">#REF!</definedName>
    <definedName name="balok2040">#REF!</definedName>
    <definedName name="balok2540">#REF!</definedName>
    <definedName name="balok2550">#REF!</definedName>
    <definedName name="balok2560">#REF!</definedName>
    <definedName name="balok3060">[10]analis!$J$169</definedName>
    <definedName name="Bangku_Belajar">#REF!</definedName>
    <definedName name="BangunanA">#REF!</definedName>
    <definedName name="basaom">#REF!</definedName>
    <definedName name="basdim">#REF!</definedName>
    <definedName name="basdoc">#REF!</definedName>
    <definedName name="base">#REF!</definedName>
    <definedName name="basfs">#REF!</definedName>
    <definedName name="basi">#REF!</definedName>
    <definedName name="basitc">#REF!</definedName>
    <definedName name="basrtu">#REF!</definedName>
    <definedName name="bastw">#REF!</definedName>
    <definedName name="Bata_Merah">#REF!</definedName>
    <definedName name="batagosok">#REF!</definedName>
    <definedName name="BATU">#REF!</definedName>
    <definedName name="Batu_Cor_5_7">#REF!</definedName>
    <definedName name="Batu_kacang">#REF!</definedName>
    <definedName name="BATUBELAH">[6]Quary!$A$259:$H$351</definedName>
    <definedName name="BATUKALI">[6]Quary!$A$149:$H$258</definedName>
    <definedName name="batukosong">[11]analis!$J$32</definedName>
    <definedName name="BAX">#REF!</definedName>
    <definedName name="bbalok_6">#REF!</definedName>
    <definedName name="bbalpres">#REF!</definedName>
    <definedName name="BBASE">#REF!</definedName>
    <definedName name="bbb">#N/A</definedName>
    <definedName name="BBX">#REF!</definedName>
    <definedName name="BCX">#REF!</definedName>
    <definedName name="bdia6">#REF!</definedName>
    <definedName name="bdinding">#REF!</definedName>
    <definedName name="bdinding_6">#REF!</definedName>
    <definedName name="begesting">#REF!</definedName>
    <definedName name="BegestingDinding">#REF!</definedName>
    <definedName name="BegistingPondasi">'[12]Analisa SNI'!$I$489</definedName>
    <definedName name="BEKBATA">#REF!</definedName>
    <definedName name="bekistb">#REF!</definedName>
    <definedName name="Bekisting">#REF!</definedName>
    <definedName name="Bekisting_balok">#REF!</definedName>
    <definedName name="Bekisting_Lantai">#REF!</definedName>
    <definedName name="Bekisting_platmeja">#REF!</definedName>
    <definedName name="Bekisting_pondasi">#REF!</definedName>
    <definedName name="Bekisting_tangga">#REF!</definedName>
    <definedName name="bekistp">#REF!</definedName>
    <definedName name="BEN">#REF!</definedName>
    <definedName name="Benang_nilon_putih">#REF!</definedName>
    <definedName name="bentalaatas">#REF!</definedName>
    <definedName name="bentalasamping">#REF!</definedName>
    <definedName name="Besi_profile___besi_Canal">#REF!</definedName>
    <definedName name="Besi_profile_WF">#REF!</definedName>
    <definedName name="Besi_siku_50x50x5__P_6M">#REF!</definedName>
    <definedName name="besibeton">[13]Bahan!$F$36</definedName>
    <definedName name="beton.k.225">#REF!</definedName>
    <definedName name="beton.k.bo">#REF!</definedName>
    <definedName name="Beton_K_175">#REF!</definedName>
    <definedName name="Beton_K150">#REF!</definedName>
    <definedName name="Beton_K175">#REF!</definedName>
    <definedName name="Beton_K200">#REF!</definedName>
    <definedName name="Beton_K275">#REF!</definedName>
    <definedName name="Beton_K300">#REF!</definedName>
    <definedName name="Beton_roster">#REF!</definedName>
    <definedName name="betoncor">#REF!</definedName>
    <definedName name="betoncycloope">#REF!</definedName>
    <definedName name="betoncyloop">#REF!</definedName>
    <definedName name="BetonFe80">#REF!</definedName>
    <definedName name="BetonK175">#REF!</definedName>
    <definedName name="BetonK275danBegesting">#REF!</definedName>
    <definedName name="betonkanstin">#REF!</definedName>
    <definedName name="betonrabat">#REF!</definedName>
    <definedName name="BetonSiklup">#REF!</definedName>
    <definedName name="Betontumbuk">'[12]Analisa SNI'!$I$915</definedName>
    <definedName name="bgeslantai">#REF!</definedName>
    <definedName name="BHN13B1">#REF!</definedName>
    <definedName name="BHNKCM">#REF!</definedName>
    <definedName name="BHNPAP">#REF!</definedName>
    <definedName name="BHNRY">#REF!</definedName>
    <definedName name="BHNTAL">#REF!</definedName>
    <definedName name="BHNTB">#REF!</definedName>
    <definedName name="BHNTN">#REF!</definedName>
    <definedName name="BiayaUmumDanKeuntungan">Analisa!#REF!</definedName>
    <definedName name="BJ">#REF!</definedName>
    <definedName name="BL">#REF!</definedName>
    <definedName name="BL_1">#REF!</definedName>
    <definedName name="BL_10">#REF!</definedName>
    <definedName name="BL_11">#REF!</definedName>
    <definedName name="BL_13">#REF!</definedName>
    <definedName name="BL_17">#REF!</definedName>
    <definedName name="BL_17A">#REF!</definedName>
    <definedName name="BL_17B">#REF!</definedName>
    <definedName name="BL_2">#REF!</definedName>
    <definedName name="BL_3">#REF!</definedName>
    <definedName name="BL_4">#REF!</definedName>
    <definedName name="BL_5">#REF!</definedName>
    <definedName name="BL_6">#REF!</definedName>
    <definedName name="BL_7">#REF!</definedName>
    <definedName name="BL_9">#REF!</definedName>
    <definedName name="bmcb">#REF!</definedName>
    <definedName name="BNY">#REF!</definedName>
    <definedName name="bongkar_beton">#REF!</definedName>
    <definedName name="BONGKAR_BETON_BERTULANG">#REF!</definedName>
    <definedName name="bongkar_dinding_bata">#REF!</definedName>
    <definedName name="Bongkar_Genteng">#REF!</definedName>
    <definedName name="Bongkar_Kloset">#REF!</definedName>
    <definedName name="Bongkar_Kuda">#REF!</definedName>
    <definedName name="Bongkar_Kusen">#REF!</definedName>
    <definedName name="Bongkar_Plafond">#REF!</definedName>
    <definedName name="Bongkar_RangkaAtap">#REF!</definedName>
    <definedName name="Bongkar_Tembok">#REF!</definedName>
    <definedName name="BONGKAR_TEMBOK_SETENGAH_BATA">#REF!</definedName>
    <definedName name="Bongkar_Total">#REF!</definedName>
    <definedName name="BongkarKloset">#REF!</definedName>
    <definedName name="BongkarKuda">#REF!</definedName>
    <definedName name="boq">#REF!</definedName>
    <definedName name="BOX">#REF!</definedName>
    <definedName name="Box_zekering__3_group">#REF!</definedName>
    <definedName name="bp">#REF!</definedName>
    <definedName name="BP.5">#REF!</definedName>
    <definedName name="bpile">#REF!</definedName>
    <definedName name="bpile_6">#REF!</definedName>
    <definedName name="bpl2x9">#REF!</definedName>
    <definedName name="bpl2x9nb">#REF!</definedName>
    <definedName name="bpl32nb">#REF!</definedName>
    <definedName name="bpl9nb">#REF!</definedName>
    <definedName name="bplat">#REF!</definedName>
    <definedName name="bplat_6">#REF!</definedName>
    <definedName name="bpond">#REF!</definedName>
    <definedName name="BR">#REF!</definedName>
    <definedName name="BS">#REF!</definedName>
    <definedName name="bsbtn22">#REF!</definedName>
    <definedName name="bsc">#REF!</definedName>
    <definedName name="bsplat">#REF!</definedName>
    <definedName name="bssiku">#REF!</definedName>
    <definedName name="BsSikuDN">#REF!</definedName>
    <definedName name="bswf">#REF!</definedName>
    <definedName name="bswf150">#REF!</definedName>
    <definedName name="BT">#REF!</definedName>
    <definedName name="Bt_Mrh">#REF!</definedName>
    <definedName name="Bt_Mrh_Pepalihan">#REF!</definedName>
    <definedName name="btangga">#REF!</definedName>
    <definedName name="BtBronjong">#REF!</definedName>
    <definedName name="btn">#REF!</definedName>
    <definedName name="btn_6">#REF!</definedName>
    <definedName name="btn_8">#REF!</definedName>
    <definedName name="Btn_Cor123">#REF!</definedName>
    <definedName name="Btn_Corppalihn">#REF!</definedName>
    <definedName name="Btn_Cycloof">#REF!</definedName>
    <definedName name="Btn_Rabat">#REF!</definedName>
    <definedName name="BtnCor123">#REF!</definedName>
    <definedName name="BtnCorpepalihan">#REF!</definedName>
    <definedName name="Btncycloof">#REF!</definedName>
    <definedName name="btnrabat">#REF!</definedName>
    <definedName name="Bton_K300">#REF!</definedName>
    <definedName name="Bubungan_Asbes">#REF!</definedName>
    <definedName name="Bubungan_Biasa">#REF!</definedName>
    <definedName name="BUBUNGAN_GENTENG_BIASA">#REF!</definedName>
    <definedName name="BUBUNGAN_GENTENG_METAL_BERPASIR">#REF!</definedName>
    <definedName name="Bubunganbiasa">#REF!</definedName>
    <definedName name="buis.tl">#REF!</definedName>
    <definedName name="Buis_beton__ø_1_m">#REF!</definedName>
    <definedName name="Buis_beton__ø_20">#REF!</definedName>
    <definedName name="Buis_beton__ø_30">#REF!</definedName>
    <definedName name="Buis_beton_1_2_ø_20">#REF!</definedName>
    <definedName name="Buis_beton_1_2_ø_30">#REF!</definedName>
    <definedName name="buiso100">#REF!</definedName>
    <definedName name="buiso20">#REF!</definedName>
    <definedName name="buiso40">#REF!</definedName>
    <definedName name="buiso50">#REF!</definedName>
    <definedName name="buiso80">#REF!</definedName>
    <definedName name="buisu20">#REF!</definedName>
    <definedName name="buisu30">#REF!</definedName>
    <definedName name="buisu60">#REF!</definedName>
    <definedName name="Buldozer">#REF!</definedName>
    <definedName name="BULL">#REF!</definedName>
    <definedName name="BULLDOZER">#REF!</definedName>
    <definedName name="buruh">#REF!</definedName>
    <definedName name="bus_50">#REF!</definedName>
    <definedName name="Bust">#N/A</definedName>
    <definedName name="bwic_a">#REF!</definedName>
    <definedName name="bwic_b">#REF!</definedName>
    <definedName name="bwic_c">#REF!</definedName>
    <definedName name="C.16.">[14]C.16!$B$1:$L$87,[14]C.16!$N$88:$V$129</definedName>
    <definedName name="C.19.">[14]C.19!$B$1:$L$55,[14]C.19!$N$56:$V$93</definedName>
    <definedName name="C.21.">[14]C.21!$B$1:$L$44,[14]C.21!$N$45:$V$81</definedName>
    <definedName name="C.23.">[14]C.23!$B$1:$L$98,[14]C.23!$N$99:$V$141</definedName>
    <definedName name="C.25.">[14]C.25!$B$1:$L$34,[14]C.25!$N$35:$V$69</definedName>
    <definedName name="C.7.">[14]C.7!$B$1:$L$33,[14]C.7!$N$34:$V$68</definedName>
    <definedName name="C.9.">[14]C.9!$B$1:$L$42,[14]C.9!$N$43:$V$79</definedName>
    <definedName name="C_">#REF!</definedName>
    <definedName name="C_1">#REF!</definedName>
    <definedName name="C_2">#REF!</definedName>
    <definedName name="caian">#REF!</definedName>
    <definedName name="CAL">#REF!</definedName>
    <definedName name="candibentar">#REF!</definedName>
    <definedName name="casf80">#REF!</definedName>
    <definedName name="CASHFLOW">#REF!</definedName>
    <definedName name="Cat_1xjarum">#REF!</definedName>
    <definedName name="Cat_1xKyu">#REF!</definedName>
    <definedName name="Cat_1xvinil">#REF!</definedName>
    <definedName name="CAT_EPOXY_PROPAN">#REF!</definedName>
    <definedName name="CAT_EXTERIOR_PROPAN">#REF!</definedName>
    <definedName name="Cat_Kansten">#REF!</definedName>
    <definedName name="CAT_KAYU_BARU">#REF!</definedName>
    <definedName name="CAT_KAYU_LAMA">#REF!</definedName>
    <definedName name="Cat_Kyu">#REF!</definedName>
    <definedName name="CAT_PLAFOND">#REF!</definedName>
    <definedName name="CAT_TEMBOK_BARU">#REF!</definedName>
    <definedName name="CAT_TEMBOK_LAMA">#REF!</definedName>
    <definedName name="Cat_Tembokjarum">#REF!</definedName>
    <definedName name="Cat_TembokVinil">#REF!</definedName>
    <definedName name="Cat_Ulangjarum">#REF!</definedName>
    <definedName name="Cat_UlangKyu">#REF!</definedName>
    <definedName name="Cat_Ulangtembkvinil">#REF!</definedName>
    <definedName name="Cat1xjarum">#REF!</definedName>
    <definedName name="Cat1xKyu">#REF!</definedName>
    <definedName name="Cat1xvinil">#REF!</definedName>
    <definedName name="catbidangkayu">#REF!</definedName>
    <definedName name="CatKansten">#REF!</definedName>
    <definedName name="catkayu">[11]analis!$J$398</definedName>
    <definedName name="CatKyu">#REF!</definedName>
    <definedName name="catmeni">[11]analis!$J$388</definedName>
    <definedName name="cattembok">#REF!</definedName>
    <definedName name="Cattembokjarum">#REF!</definedName>
    <definedName name="CattembokVinil">#REF!</definedName>
    <definedName name="Catulangjarum">#REF!</definedName>
    <definedName name="CatUlangKyu">#REF!</definedName>
    <definedName name="Catulangtembkvinil">#REF!</definedName>
    <definedName name="cc">[7]analis!$J$10</definedName>
    <definedName name="cc_9">#REF!</definedName>
    <definedName name="cc_9_6">#REF!</definedName>
    <definedName name="CCS">#REF!</definedName>
    <definedName name="CDD">#REF!</definedName>
    <definedName name="CDL">#REF!</definedName>
    <definedName name="cipf6">#REF!</definedName>
    <definedName name="cipf8">#REF!</definedName>
    <definedName name="Closet_duduk_toto">#REF!</definedName>
    <definedName name="Closet_jongkok_porselin_toto">#REF!</definedName>
    <definedName name="CLUBHOUSE">#REF!</definedName>
    <definedName name="CLVCTB">#REF!</definedName>
    <definedName name="COMPACT">#REF!</definedName>
    <definedName name="COMPRES">#REF!</definedName>
    <definedName name="Concrete.Screed">#REF!</definedName>
    <definedName name="Concrete.Truck.">#REF!</definedName>
    <definedName name="Concrete.Vibrat">#REF!</definedName>
    <definedName name="concrete_mixer">#REF!</definedName>
    <definedName name="concrete_nail">#REF!</definedName>
    <definedName name="concrete_vibrator">#REF!</definedName>
    <definedName name="CONCRETEMIXER">#REF!</definedName>
    <definedName name="Concretepump">#REF!</definedName>
    <definedName name="concretevibrator">#REF!</definedName>
    <definedName name="CONCRETEVIBRO">#REF!</definedName>
    <definedName name="Contract_Resources">#REF!</definedName>
    <definedName name="Contracts">#REF!</definedName>
    <definedName name="Cost_Categories">#REF!</definedName>
    <definedName name="COV">#REF!</definedName>
    <definedName name="CR_ALL">#REF!</definedName>
    <definedName name="CRUSHER">#REF!</definedName>
    <definedName name="CS">#REF!</definedName>
    <definedName name="ct">#REF!</definedName>
    <definedName name="ctb">#REF!</definedName>
    <definedName name="CUL">#REF!</definedName>
    <definedName name="cupper">#REF!</definedName>
    <definedName name="CX">#REF!</definedName>
    <definedName name="D">#REF!</definedName>
    <definedName name="D.1.4.">#REF!,#REF!</definedName>
    <definedName name="D.1.5.">#REF!,#REF!</definedName>
    <definedName name="D.1.6.">#REF!,#REF!</definedName>
    <definedName name="D.1.7.">#REF!,#REF!</definedName>
    <definedName name="D.10.">#REF!,#REF!</definedName>
    <definedName name="D.105.">[9]D.103!$B$1:$L$87,[9]D.103!$N$88:$U$127</definedName>
    <definedName name="D.11.">#REF!,#REF!</definedName>
    <definedName name="D.117.">[9]D.115!$B$1:$L$93,[9]D.115!$N$94:$U$134</definedName>
    <definedName name="D.118.">[9]D.116!$B$1:$L$71,[9]D.116!$N$72:$U$110</definedName>
    <definedName name="d.12.">#REF!,#REF!</definedName>
    <definedName name="D.120.">[9]D.118!$B$1:$L$92,[9]D.118!$N$93:$U$133</definedName>
    <definedName name="D.121.">[9]D.119!$B$1:$L$81,[9]D.119!$N$82:$U$121</definedName>
    <definedName name="D.13.">#REF!,#REF!</definedName>
    <definedName name="D.14.">#REF!,#REF!</definedName>
    <definedName name="D.15.">#REF!,#REF!</definedName>
    <definedName name="D.16">#REF!,#REF!</definedName>
    <definedName name="D.17.">#REF!,#REF!</definedName>
    <definedName name="D.18.">#REF!,#REF!</definedName>
    <definedName name="D.19.">#REF!,#REF!</definedName>
    <definedName name="D.2.1.">#REF!,#REF!</definedName>
    <definedName name="D.2.2.">#REF!,#REF!</definedName>
    <definedName name="D.2.3.">#REF!,#REF!</definedName>
    <definedName name="D.23.">#REF!,#REF!</definedName>
    <definedName name="D.24.">#REF!,#REF!</definedName>
    <definedName name="D.25.">#REF!,#REF!</definedName>
    <definedName name="D.26.">#REF!,#REF!</definedName>
    <definedName name="D.29.">#REF!,#REF!</definedName>
    <definedName name="D.79.">[15]D.79!$B$1:$L$48,[15]D.79!$N$49:$U$83</definedName>
    <definedName name="D.8.">#REF!,#REF!</definedName>
    <definedName name="D.80.">[15]D.80!$B$1:$L$51,[15]D.80!$N$52:$U$86</definedName>
    <definedName name="D.81.">[15]D.81!$B$1:$L$46,[15]D.81!$N$47:$U$81</definedName>
    <definedName name="D.82.">[15]D.82!$B$1:$L$49,[15]D.82!$N$50:$U$84</definedName>
    <definedName name="D.83.">[15]D.83!$B$1:$L$54,[15]D.83!$N$55:$U$89</definedName>
    <definedName name="D.84.">[15]D.84!$B$1:$L$56,[15]D.84!$N$57:$U$91</definedName>
    <definedName name="D.85.">[15]D.85!$B$1:$L$51,[15]D.85!$N$52:$U$86</definedName>
    <definedName name="D.86.">[15]D.86!$B$1:$L$51,[15]D.86!$N$52:$U$86</definedName>
    <definedName name="D.87.">[15]D.87!$B$1:$L$48,[15]D.87!$N$49:$U$83</definedName>
    <definedName name="D.88.">[15]D.88!$B$1:$L$36,[15]D.88!$N$37:$U$69</definedName>
    <definedName name="D.89.">[15]D.89!$B$1:$L$49,[15]D.89!$N$50:$U$83</definedName>
    <definedName name="D.9.">#REF!,#REF!</definedName>
    <definedName name="D.91.">[15]D.91!$B$1:$L$42,[15]D.91!$N$43:$U$76</definedName>
    <definedName name="D.92.">[15]D.92!$B$1:$L$175,[15]D.92!$N$176:$U$218</definedName>
    <definedName name="D.93.">[15]D.93!$B$1:$L$50,[15]D.93!$N$51:$U$84</definedName>
    <definedName name="D.94.">[15]D.94!$B$1:$L$55,[15]D.94!$N$56:$U$90</definedName>
    <definedName name="D.95.">[15]D.95!$B$1:$L$57,[15]D.95!$N$58:$U$92</definedName>
    <definedName name="D.96.">[15]D.96!$B$1:$L$51,[15]D.96!$N$52:$U$86</definedName>
    <definedName name="D_1">#REF!</definedName>
    <definedName name="D_4">#REF!</definedName>
    <definedName name="D_5">#REF!</definedName>
    <definedName name="D20.">#REF!,#REF!</definedName>
    <definedName name="daa">#REF!</definedName>
    <definedName name="Daf.4">#REF!</definedName>
    <definedName name="DAF_10">#REF!</definedName>
    <definedName name="DAF_4">#REF!</definedName>
    <definedName name="DAF3_14">#REF!</definedName>
    <definedName name="DAF3_15">#REF!</definedName>
    <definedName name="DAF3_16">#REF!</definedName>
    <definedName name="DAF3_17">#REF!</definedName>
    <definedName name="DAF3_18">#REF!</definedName>
    <definedName name="DAF3_19">#REF!</definedName>
    <definedName name="DAF3_2">#REF!</definedName>
    <definedName name="DAF3_20">#REF!</definedName>
    <definedName name="DAF3_21">#REF!</definedName>
    <definedName name="DAF3_3">#REF!</definedName>
    <definedName name="DAF3_4">#REF!</definedName>
    <definedName name="DAF3_5">#REF!</definedName>
    <definedName name="DAF3_6">#REF!</definedName>
    <definedName name="DAF3_7">#REF!</definedName>
    <definedName name="DAF3_8">#REF!</definedName>
    <definedName name="DAF3_9">#REF!</definedName>
    <definedName name="DAFTARSEWA">#REF!</definedName>
    <definedName name="dak">#REF!</definedName>
    <definedName name="dapat">#REF!</definedName>
    <definedName name="dasarprice">#REF!</definedName>
    <definedName name="DATA">#REF!</definedName>
    <definedName name="_xlnm.Database">#REF!</definedName>
    <definedName name="DataKeuangan">#REF!</definedName>
    <definedName name="DataTeknik">#REF!</definedName>
    <definedName name="DAUN_JENDELA_ALUMINIUM_KACA_BENING">#REF!</definedName>
    <definedName name="DAUN_JENDELA_KAYU_KACA">#REF!</definedName>
    <definedName name="Daun_pintjenkckamper">#REF!</definedName>
    <definedName name="DAUN_PINTU_ALUMINIUM_KACA_BENING">#REF!</definedName>
    <definedName name="DAUN_PINTU_ALUMINIUM_KACA_ES">#REF!</definedName>
    <definedName name="DAUN_PINTU_ALUMINIUM_SPANDREL">#REF!</definedName>
    <definedName name="DAUN_PINTU_PLYWOOD_LAPIS_ALUMINIUM">#REF!</definedName>
    <definedName name="DAUN_PINTU_PLYWOOD_RANGKAP">#REF!</definedName>
    <definedName name="Daun_pintujendkcjati">#REF!</definedName>
    <definedName name="DAunpintjenkckamper">#REF!</definedName>
    <definedName name="DAunpintujendkacajati">#REF!</definedName>
    <definedName name="daunpintuplaywoodlapis">#REF!</definedName>
    <definedName name="DAX">#REF!</definedName>
    <definedName name="DAYWORKS">#REF!</definedName>
    <definedName name="DBX">#REF!</definedName>
    <definedName name="DCX">#REF!</definedName>
    <definedName name="dd">#REF!</definedName>
    <definedName name="DDD">#REF!</definedName>
    <definedName name="DDX">#REF!</definedName>
    <definedName name="dempul">#REF!</definedName>
    <definedName name="desa">#N/A</definedName>
    <definedName name="detib2100">#REF!</definedName>
    <definedName name="detib2120">#REF!</definedName>
    <definedName name="detib250">#REF!</definedName>
    <definedName name="detib260">#REF!</definedName>
    <definedName name="detib280">#REF!</definedName>
    <definedName name="DFDF">#REF!</definedName>
    <definedName name="dfsds">[16]analis!$J$570</definedName>
    <definedName name="dgk">#REF!</definedName>
    <definedName name="DI_2">#REF!</definedName>
    <definedName name="DI_3">#REF!</definedName>
    <definedName name="DI_4">#REF!</definedName>
    <definedName name="DI_5">#REF!</definedName>
    <definedName name="DI_6">#REF!</definedName>
    <definedName name="DI_7">#REF!</definedName>
    <definedName name="DI_8">#REF!</definedName>
    <definedName name="DI_9">#REF!</definedName>
    <definedName name="diametersengkang">#REF!</definedName>
    <definedName name="Diapragma316">#REF!</definedName>
    <definedName name="Diapragma400">#REF!</definedName>
    <definedName name="diapragma405">#REF!</definedName>
    <definedName name="Dibulatkan">#REF!</definedName>
    <definedName name="diesel_hammer">#REF!</definedName>
    <definedName name="DIGIT">#REF!</definedName>
    <definedName name="DII_1">#REF!</definedName>
    <definedName name="DII_10">#REF!</definedName>
    <definedName name="DII_11">#REF!</definedName>
    <definedName name="DII_12">#REF!</definedName>
    <definedName name="DII_13">#REF!</definedName>
    <definedName name="DII_2">#REF!</definedName>
    <definedName name="DII_3">#REF!</definedName>
    <definedName name="DII_4">#REF!</definedName>
    <definedName name="DII_5">#REF!</definedName>
    <definedName name="DII_6">#REF!</definedName>
    <definedName name="DII_7">#REF!</definedName>
    <definedName name="DII_8">#REF!</definedName>
    <definedName name="DII_9">#REF!</definedName>
    <definedName name="DIII_1">#REF!</definedName>
    <definedName name="DIII_10">#REF!</definedName>
    <definedName name="DIII_11">#REF!</definedName>
    <definedName name="DIII_12">#REF!</definedName>
    <definedName name="DIII_13">#REF!</definedName>
    <definedName name="DIII_2">#REF!</definedName>
    <definedName name="DIII_3">#REF!</definedName>
    <definedName name="DIII_4">#REF!</definedName>
    <definedName name="DIII_5">#REF!</definedName>
    <definedName name="DIII_6">#REF!</definedName>
    <definedName name="DIII_7">#REF!</definedName>
    <definedName name="DIII_8">#REF!</definedName>
    <definedName name="DIII_9">#REF!</definedName>
    <definedName name="DINDING">#REF!</definedName>
    <definedName name="dinding_bata_1_4">#REF!</definedName>
    <definedName name="dinding_bata_1_6">#REF!</definedName>
    <definedName name="dinding_bata_1_8">#REF!</definedName>
    <definedName name="dinding_batako_besi">#REF!</definedName>
    <definedName name="dinding_batamerah_1_2">#REF!</definedName>
    <definedName name="dinding_batamerah_1_3">#REF!</definedName>
    <definedName name="dinding_bedeg">#REF!</definedName>
    <definedName name="dinding_kerawang_roster_12_11_24">#REF!</definedName>
    <definedName name="Dinding_Partisi">#REF!</definedName>
    <definedName name="dinding_zincalume">#REF!</definedName>
    <definedName name="dinding1">#REF!</definedName>
    <definedName name="dindingbak">#REF!</definedName>
    <definedName name="Dindingpartisi">#REF!</definedName>
    <definedName name="DISCRM_6">#REF!</definedName>
    <definedName name="discsan">#REF!</definedName>
    <definedName name="discseis">#REF!</definedName>
    <definedName name="discseis_6">#REF!</definedName>
    <definedName name="disdir">#REF!</definedName>
    <definedName name="DIVISI">#REF!</definedName>
    <definedName name="dka">#REF!</definedName>
    <definedName name="dkk">#REF!</definedName>
    <definedName name="dlpar38120">#REF!</definedName>
    <definedName name="dlpl18nb">#REF!</definedName>
    <definedName name="dlpl1x13">#REF!</definedName>
    <definedName name="dlpl1x13nb">#REF!</definedName>
    <definedName name="dlpl2x18">#REF!</definedName>
    <definedName name="dlpl2x18nb">#REF!</definedName>
    <definedName name="dlpl9">#REF!</definedName>
    <definedName name="dlpl9nb">#REF!</definedName>
    <definedName name="dlplc13w">#REF!</definedName>
    <definedName name="dlplc13wbimc">#REF!</definedName>
    <definedName name="dlplc2x13">#REF!</definedName>
    <definedName name="dlplc2x13nb">#REF!</definedName>
    <definedName name="dlwwh20">#REF!</definedName>
    <definedName name="dlwwh20nb">#REF!</definedName>
    <definedName name="DODOL">#REF!</definedName>
    <definedName name="Dohara">#REF!</definedName>
    <definedName name="dol">#REF!</definedName>
    <definedName name="dol_6">#REF!</definedName>
    <definedName name="Dolar">#REF!</definedName>
    <definedName name="dolken">#REF!</definedName>
    <definedName name="Dolken__4___6__cm">#REF!</definedName>
    <definedName name="DOMBA">#REF!</definedName>
    <definedName name="DP_jatialum">#REF!</definedName>
    <definedName name="DP_krepyak">#REF!</definedName>
    <definedName name="DP_Trip">#REF!</definedName>
    <definedName name="DP_tripalum">#REF!</definedName>
    <definedName name="DP_tripdouble">#REF!</definedName>
    <definedName name="dpa">#REF!</definedName>
    <definedName name="DPjatialum">#REF!</definedName>
    <definedName name="dpk">#REF!</definedName>
    <definedName name="DPkrepyak">#REF!</definedName>
    <definedName name="DPTrip">#REF!</definedName>
    <definedName name="DPtripalum">#REF!</definedName>
    <definedName name="DPtripdouble">#REF!</definedName>
    <definedName name="DPU">#REF!</definedName>
    <definedName name="DRAINASE">#REF!</definedName>
    <definedName name="DrainBuis50cm">#REF!</definedName>
    <definedName name="drilb2100">#REF!</definedName>
    <definedName name="drilb2120">#REF!</definedName>
    <definedName name="drilb250">#REF!</definedName>
    <definedName name="drilb260">#REF!</definedName>
    <definedName name="drilb280">#REF!</definedName>
    <definedName name="drildl3a100">#REF!</definedName>
    <definedName name="drildl3a120">#REF!</definedName>
    <definedName name="drildl3a50">#REF!</definedName>
    <definedName name="drildl3a60">#REF!</definedName>
    <definedName name="drildl3a80">#REF!</definedName>
    <definedName name="drill1100">#REF!</definedName>
    <definedName name="drill1120">#REF!</definedName>
    <definedName name="drill150">#REF!</definedName>
    <definedName name="drill160">#REF!</definedName>
    <definedName name="drill180">#REF!</definedName>
    <definedName name="drill3100">#REF!</definedName>
    <definedName name="drill3120">#REF!</definedName>
    <definedName name="drill350">#REF!</definedName>
    <definedName name="drill360">#REF!</definedName>
    <definedName name="drill380">#REF!</definedName>
    <definedName name="drill5100">#REF!</definedName>
    <definedName name="drill5120">#REF!</definedName>
    <definedName name="drill550">#REF!</definedName>
    <definedName name="drill560">#REF!</definedName>
    <definedName name="drill580">#REF!</definedName>
    <definedName name="drill5a100">#REF!</definedName>
    <definedName name="drill5a120">#REF!</definedName>
    <definedName name="drill5a50">#REF!</definedName>
    <definedName name="drill5a60">#REF!</definedName>
    <definedName name="drill5a80">#REF!</definedName>
    <definedName name="drill6a100">#REF!</definedName>
    <definedName name="drill6a120">#REF!</definedName>
    <definedName name="drill6a50">#REF!</definedName>
    <definedName name="drill6a60">#REF!</definedName>
    <definedName name="drill6a80">#REF!</definedName>
    <definedName name="drillug100">#REF!</definedName>
    <definedName name="drillug120">#REF!</definedName>
    <definedName name="drillug50">#REF!</definedName>
    <definedName name="drillug60">#REF!</definedName>
    <definedName name="drillug80">#REF!</definedName>
    <definedName name="dsilb2100">#REF!</definedName>
    <definedName name="dsilb2120">#REF!</definedName>
    <definedName name="dsilb250">#REF!</definedName>
    <definedName name="dsilb260">#REF!</definedName>
    <definedName name="dsilb280">#REF!</definedName>
    <definedName name="dsildb2100">#REF!</definedName>
    <definedName name="dsildb2120">#REF!</definedName>
    <definedName name="dsildb250">#REF!</definedName>
    <definedName name="dsildb260">#REF!</definedName>
    <definedName name="dsildb280">#REF!</definedName>
    <definedName name="dsildl1100">#REF!</definedName>
    <definedName name="dsildl1120">#REF!</definedName>
    <definedName name="dsildl150">#REF!</definedName>
    <definedName name="dsildl160">#REF!</definedName>
    <definedName name="dsildl180">#REF!</definedName>
    <definedName name="dsildl3100">#REF!</definedName>
    <definedName name="dsildl3120">#REF!</definedName>
    <definedName name="dsildl350">#REF!</definedName>
    <definedName name="dsildl360">#REF!</definedName>
    <definedName name="dsildl380">#REF!</definedName>
    <definedName name="dsildl3a100">#REF!</definedName>
    <definedName name="dsildl3a120">#REF!</definedName>
    <definedName name="dsildl3a50">#REF!</definedName>
    <definedName name="dsildl3a60">#REF!</definedName>
    <definedName name="dsildl3a80">#REF!</definedName>
    <definedName name="dsildl5100">#REF!</definedName>
    <definedName name="dsildl5120">#REF!</definedName>
    <definedName name="dsildl550">#REF!</definedName>
    <definedName name="dsildl560">#REF!</definedName>
    <definedName name="dsildl580">#REF!</definedName>
    <definedName name="dsildl5a100">#REF!</definedName>
    <definedName name="dsildl5a120">#REF!</definedName>
    <definedName name="dsildl5a50">#REF!</definedName>
    <definedName name="dsildl5a60">#REF!</definedName>
    <definedName name="dsildl5a80">#REF!</definedName>
    <definedName name="dsildl6a100">#REF!</definedName>
    <definedName name="dsildl6a120">#REF!</definedName>
    <definedName name="dsildl6a50">#REF!</definedName>
    <definedName name="dsildl6a60">#REF!</definedName>
    <definedName name="dsildl6a80">#REF!</definedName>
    <definedName name="dsildlug100">#REF!</definedName>
    <definedName name="dsildlug120">#REF!</definedName>
    <definedName name="dsildlug50">#REF!</definedName>
    <definedName name="dsildlug60">#REF!</definedName>
    <definedName name="dsildlug80">#REF!</definedName>
    <definedName name="dsill1100">#REF!</definedName>
    <definedName name="dsill1120">#REF!</definedName>
    <definedName name="dsill150">#REF!</definedName>
    <definedName name="dsill160">#REF!</definedName>
    <definedName name="dsill180">#REF!</definedName>
    <definedName name="dsill3100">#REF!</definedName>
    <definedName name="dsill3120">#REF!</definedName>
    <definedName name="dsill350">#REF!</definedName>
    <definedName name="dsill360">#REF!</definedName>
    <definedName name="dsill380">#REF!</definedName>
    <definedName name="dsill3a100">#REF!</definedName>
    <definedName name="dsill3a120">#REF!</definedName>
    <definedName name="dsill3a50">#REF!</definedName>
    <definedName name="dsill3a60">#REF!</definedName>
    <definedName name="dsill3a80">#REF!</definedName>
    <definedName name="dsill5100">#REF!</definedName>
    <definedName name="dsill5120">#REF!</definedName>
    <definedName name="dsill550">#REF!</definedName>
    <definedName name="dsill560">#REF!</definedName>
    <definedName name="dsill580">#REF!</definedName>
    <definedName name="dsill5a100">#REF!</definedName>
    <definedName name="dsill5a120">#REF!</definedName>
    <definedName name="dsill5a50">#REF!</definedName>
    <definedName name="dsill5a60">#REF!</definedName>
    <definedName name="dsill5a80">#REF!</definedName>
    <definedName name="dsill6a100">#REF!</definedName>
    <definedName name="dsill6a120">#REF!</definedName>
    <definedName name="dsill6a50">#REF!</definedName>
    <definedName name="dsill6a60">#REF!</definedName>
    <definedName name="dsill6a80">#REF!</definedName>
    <definedName name="dsillug100">#REF!</definedName>
    <definedName name="dsillug120">#REF!</definedName>
    <definedName name="dsillug50">#REF!</definedName>
    <definedName name="dsillug60">#REF!</definedName>
    <definedName name="dsillug80">#REF!</definedName>
    <definedName name="dstib2100">#REF!</definedName>
    <definedName name="dstib2120">#REF!</definedName>
    <definedName name="dstib250">#REF!</definedName>
    <definedName name="dstib260">#REF!</definedName>
    <definedName name="dstib280">#REF!</definedName>
    <definedName name="DT_6">#REF!</definedName>
    <definedName name="DT_8">#REF!</definedName>
    <definedName name="Dump.Truck.K">#REF!</definedName>
    <definedName name="dump_truck">#REF!</definedName>
    <definedName name="DUMPTRUCK1">#REF!</definedName>
    <definedName name="DUMPTRUCK2">#REF!</definedName>
    <definedName name="dumptruk">#REF!</definedName>
    <definedName name="DV_2">#REF!</definedName>
    <definedName name="DV_3">#REF!</definedName>
    <definedName name="DV_4">#REF!</definedName>
    <definedName name="DV_5">#REF!</definedName>
    <definedName name="DV_6">#REF!</definedName>
    <definedName name="DV_7">#REF!</definedName>
    <definedName name="DV_8">#REF!</definedName>
    <definedName name="DV_9">#REF!</definedName>
    <definedName name="E">#REF!</definedName>
    <definedName name="E_1">#REF!</definedName>
    <definedName name="E_10">#REF!</definedName>
    <definedName name="E_11">#REF!</definedName>
    <definedName name="E_12">#REF!</definedName>
    <definedName name="E_13">#REF!</definedName>
    <definedName name="E_2">#REF!</definedName>
    <definedName name="E_3">#REF!</definedName>
    <definedName name="E_4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A">#REF!</definedName>
    <definedName name="EA1.1">#REF!</definedName>
    <definedName name="EA1.2">#REF!</definedName>
    <definedName name="EA1.3">#REF!</definedName>
    <definedName name="EA2.1">#REF!</definedName>
    <definedName name="EA2.2">#REF!</definedName>
    <definedName name="EA2.3">#REF!</definedName>
    <definedName name="EA2.5">#REF!</definedName>
    <definedName name="EA2.6">#REF!</definedName>
    <definedName name="EA2.7">#REF!</definedName>
    <definedName name="EA2.8">#REF!</definedName>
    <definedName name="EA21.1">#REF!</definedName>
    <definedName name="EA21.2">#REF!</definedName>
    <definedName name="EA21.3">#REF!</definedName>
    <definedName name="EA21.4">#REF!</definedName>
    <definedName name="EA21.5">#REF!</definedName>
    <definedName name="EA3.1">#REF!</definedName>
    <definedName name="EA3.2">#REF!</definedName>
    <definedName name="EA3.3">#REF!</definedName>
    <definedName name="EA3.4">#REF!</definedName>
    <definedName name="EB">#REF!</definedName>
    <definedName name="EB1.1">#REF!</definedName>
    <definedName name="EC1.1">#REF!</definedName>
    <definedName name="ED1.1">#REF!</definedName>
    <definedName name="EEE">#REF!</definedName>
    <definedName name="EEX">#REF!</definedName>
    <definedName name="EFX">#REF!</definedName>
    <definedName name="EGSPANOLET">#REF!</definedName>
    <definedName name="EGX">#REF!</definedName>
    <definedName name="EHX">#REF!</definedName>
    <definedName name="EJX">#REF!</definedName>
    <definedName name="EKX">#REF!</definedName>
    <definedName name="El">#REF!</definedName>
    <definedName name="ELASTOM">#REF!</definedName>
    <definedName name="elek">#REF!</definedName>
    <definedName name="ELEKTRIKAL">#REF!</definedName>
    <definedName name="Elektronik">#REF!</definedName>
    <definedName name="ELX">#REF!</definedName>
    <definedName name="Engsel_jendela_solid">#REF!</definedName>
    <definedName name="Engsel_pintu__H__besar">#REF!</definedName>
    <definedName name="engsel1.5pair">#REF!</definedName>
    <definedName name="engsel3pairs">#REF!</definedName>
    <definedName name="eol">#REF!</definedName>
    <definedName name="er">#REF!</definedName>
    <definedName name="ERECT_1">#REF!</definedName>
    <definedName name="ERECT_2">#REF!</definedName>
    <definedName name="ESPAGNOLETH">#REF!</definedName>
    <definedName name="EXCAV">#REF!</definedName>
    <definedName name="Excel_BuiltIn_Print_Area_1_1_1_1_1">#REF!</definedName>
    <definedName name="Excel_BuiltIn_Print_Area_1_1_1_1_2">#REF!</definedName>
    <definedName name="Excel_BuiltIn_Print_Area_1_1_1_1_4">#REF!</definedName>
    <definedName name="Excel_BuiltIn_Print_Area_1_1_1_1_5">#REF!</definedName>
    <definedName name="Excel_BuiltIn_Print_Area_1_1_1_2">#REF!</definedName>
    <definedName name="Excel_BuiltIn_Print_Area_1_1_1_4">#REF!</definedName>
    <definedName name="Excel_BuiltIn_Print_Area_1_1_1_5">#REF!</definedName>
    <definedName name="Excel_BuiltIn_Print_Area_1_1_2">#REF!</definedName>
    <definedName name="Excel_BuiltIn_Print_Area_1_1_4">#REF!</definedName>
    <definedName name="Excel_BuiltIn_Print_Area_1_1_5">#REF!</definedName>
    <definedName name="Excel_BuiltIn_Print_Area_1_1_8">#REF!</definedName>
    <definedName name="Excel_BuiltIn_Print_Area_1_2">#REF!</definedName>
    <definedName name="Excel_BuiltIn_Print_Area_1_4">#REF!</definedName>
    <definedName name="Excel_BuiltIn_Print_Area_1_5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3">#REF!</definedName>
    <definedName name="Excel_BuiltIn_Print_Area_3">#REF!</definedName>
    <definedName name="Excel_BuiltIn_Print_Area_3_1">#REF!</definedName>
    <definedName name="Excel_BuiltIn_Print_Area_3_1_4">#REF!</definedName>
    <definedName name="Excel_BuiltIn_Print_Area_3_1_5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6_1">#REF!</definedName>
    <definedName name="Excel_BuiltIn_Print_Area_6_6">#REF!</definedName>
    <definedName name="Excel_BuiltIn_Print_Area_7">#REF!</definedName>
    <definedName name="Excel_BuiltIn_Print_Area_7_1">#REF!</definedName>
    <definedName name="Excel_BuiltIn_Print_Area_7_6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">#REF!</definedName>
    <definedName name="Excel_BuiltIn_Print_Titles_1">#REF!</definedName>
    <definedName name="Excel_BuiltIn_Print_Titles_1_1_1_1">#REF!</definedName>
    <definedName name="Excel_BuiltIn_Print_Titles_10">#REF!</definedName>
    <definedName name="Excel_BuiltIn_Print_Titles_13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6_6">#REF!</definedName>
    <definedName name="Excel_BuiltIn_Print_Titles_7">#REF!</definedName>
    <definedName name="Excel_BuiltIn_Print_Titles_7_1">#REF!</definedName>
    <definedName name="Excel_BuiltIn_Print_Titles_7_6">#REF!</definedName>
    <definedName name="Excel_BuiltIn_Print_Titles_8">#REF!</definedName>
    <definedName name="Excel_BuiltIn_Print_Titles_8_1">#REF!</definedName>
    <definedName name="Excel_BuiltIn_Print_Titles_8_1_1">#REF!</definedName>
    <definedName name="Excel_BuiltIn_Print_Titles_9">#REF!</definedName>
    <definedName name="Excel_BuiltIn_Print_Titles_9_1">#REF!</definedName>
    <definedName name="EXHASUT_CEILING_FAN">#REF!</definedName>
    <definedName name="EXHAUST_WALL_FAN">#REF!</definedName>
    <definedName name="Expantion">#REF!</definedName>
    <definedName name="EXTRA">#REF!</definedName>
    <definedName name="F_12">#REF!</definedName>
    <definedName name="F_13">#REF!</definedName>
    <definedName name="F_2">#REF!</definedName>
    <definedName name="F_3">#REF!</definedName>
    <definedName name="F_4">#REF!</definedName>
    <definedName name="F_5">#REF!</definedName>
    <definedName name="f_6">#REF!</definedName>
    <definedName name="F_7">#REF!</definedName>
    <definedName name="F_8">#REF!</definedName>
    <definedName name="F_9">#REF!</definedName>
    <definedName name="F_S">#REF!</definedName>
    <definedName name="F_SL">#N/A</definedName>
    <definedName name="faab">#REF!</definedName>
    <definedName name="facm">#REF!</definedName>
    <definedName name="facp">#REF!</definedName>
    <definedName name="faeol">#REF!</definedName>
    <definedName name="fahd">#REF!</definedName>
    <definedName name="fahdt">#REF!</definedName>
    <definedName name="fahs">#REF!</definedName>
    <definedName name="fail">#REF!</definedName>
    <definedName name="faitc">#REF!</definedName>
    <definedName name="Fak.bend">#REF!</definedName>
    <definedName name="Fak.hook">#REF!</definedName>
    <definedName name="Fak.Ovrlp">#REF!</definedName>
    <definedName name="Fak.Waste.atas">#REF!</definedName>
    <definedName name="Fak.Waste.bwh">#REF!</definedName>
    <definedName name="faki">#REF!</definedName>
    <definedName name="Fakta">#REF!</definedName>
    <definedName name="faktd">#REF!</definedName>
    <definedName name="Faktor">#REF!</definedName>
    <definedName name="fall" hidden="1">#REF!</definedName>
    <definedName name="fam">#REF!</definedName>
    <definedName name="famcp">#REF!</definedName>
    <definedName name="faoi">#REF!</definedName>
    <definedName name="far">#REF!</definedName>
    <definedName name="fasd">#REF!</definedName>
    <definedName name="fasdt">#REF!</definedName>
    <definedName name="fat">#REF!</definedName>
    <definedName name="Fax">#REF!</definedName>
    <definedName name="FBT">#REF!</definedName>
    <definedName name="Fe100prak">#REF!</definedName>
    <definedName name="Fe100struk">#REF!</definedName>
    <definedName name="Fe110prak">#REF!</definedName>
    <definedName name="Fe110struk">#REF!</definedName>
    <definedName name="Fe120prak">#REF!</definedName>
    <definedName name="Fe120struk">#REF!</definedName>
    <definedName name="Fe130prak">#REF!</definedName>
    <definedName name="Fe130struk">#REF!</definedName>
    <definedName name="Fe140prak">#REF!</definedName>
    <definedName name="Fe140struk">#REF!</definedName>
    <definedName name="Fe150prak">#REF!</definedName>
    <definedName name="Fe150struk">#REF!</definedName>
    <definedName name="Fe160prak">#REF!</definedName>
    <definedName name="Fe160struk">#REF!</definedName>
    <definedName name="Fe170prak">#REF!</definedName>
    <definedName name="Fe170struk">#REF!</definedName>
    <definedName name="Fe175prak">#REF!</definedName>
    <definedName name="Fe175struk">#REF!</definedName>
    <definedName name="Fe180prak">#REF!</definedName>
    <definedName name="Fe180struk">#REF!</definedName>
    <definedName name="Fe190prak">#REF!</definedName>
    <definedName name="Fe190struk">#REF!</definedName>
    <definedName name="Fe200prak">#REF!</definedName>
    <definedName name="Fe200struk">#REF!</definedName>
    <definedName name="Fe210prak">#REF!</definedName>
    <definedName name="Fe210struk">#REF!</definedName>
    <definedName name="Fe220prak">#REF!</definedName>
    <definedName name="Fe220struk">#REF!</definedName>
    <definedName name="Fe230prak">#REF!</definedName>
    <definedName name="Fe230struk">#REF!</definedName>
    <definedName name="Fe240prak">#REF!</definedName>
    <definedName name="Fe240struk">#REF!</definedName>
    <definedName name="Fe250prak">#REF!</definedName>
    <definedName name="Fe250struk">#REF!</definedName>
    <definedName name="Fe260prak">#REF!</definedName>
    <definedName name="Fe260struk">#REF!</definedName>
    <definedName name="Fe270prak">#REF!</definedName>
    <definedName name="Fe270struk">#REF!</definedName>
    <definedName name="Fe275prak">#REF!</definedName>
    <definedName name="Fe275struk">#REF!</definedName>
    <definedName name="Fe280prak">#REF!</definedName>
    <definedName name="Fe280struk">#REF!</definedName>
    <definedName name="Fe60prak">#REF!</definedName>
    <definedName name="Fe60struk">#REF!</definedName>
    <definedName name="Fe70prak">#REF!</definedName>
    <definedName name="Fe70struk">#REF!</definedName>
    <definedName name="Fe80prak">#REF!</definedName>
    <definedName name="Fe80struk">#REF!</definedName>
    <definedName name="Fe90prak">#REF!</definedName>
    <definedName name="Fe90struk">#REF!</definedName>
    <definedName name="feco25">#REF!</definedName>
    <definedName name="fedc2">#REF!</definedName>
    <definedName name="fedc35">#REF!</definedName>
    <definedName name="FEX">#REF!</definedName>
    <definedName name="fffff">#REF!</definedName>
    <definedName name="FFX">#REF!</definedName>
    <definedName name="FGX">#REF!</definedName>
    <definedName name="FHX">#REF!</definedName>
    <definedName name="FILLL" hidden="1">#REF!</definedName>
    <definedName name="FIRST_FLOOR">#REF!</definedName>
    <definedName name="FIT">#REF!</definedName>
    <definedName name="FITFS">#REF!</definedName>
    <definedName name="FITT">#REF!</definedName>
    <definedName name="FJX">#REF!</definedName>
    <definedName name="Fk">#REF!</definedName>
    <definedName name="fkx">#REF!</definedName>
    <definedName name="flmh400">#REF!</definedName>
    <definedName name="FLOORDRAIN">[17]ANALISA!$I$1179</definedName>
    <definedName name="flx">#REF!</definedName>
    <definedName name="FO">#REF!</definedName>
    <definedName name="FOLDINGDOOR_BESI">#REF!</definedName>
    <definedName name="footplat">#REF!</definedName>
    <definedName name="FOR">#REF!</definedName>
    <definedName name="form">#REF!</definedName>
    <definedName name="FORM231">[6]Div.2!$L$172:$V$228</definedName>
    <definedName name="FORM233">#REF!</definedName>
    <definedName name="Form234">#REF!</definedName>
    <definedName name="FORM234L">#REF!</definedName>
    <definedName name="Form235">#REF!</definedName>
    <definedName name="Form236">#REF!</definedName>
    <definedName name="FORM241">#REF!</definedName>
    <definedName name="FORM242">#REF!</definedName>
    <definedName name="FORM243">#REF!</definedName>
    <definedName name="FORM311">#REF!</definedName>
    <definedName name="FORM312">#REF!</definedName>
    <definedName name="FORM313">#REF!</definedName>
    <definedName name="FORM314">#REF!</definedName>
    <definedName name="FORM315">#REF!</definedName>
    <definedName name="FORM319">#REF!</definedName>
    <definedName name="FORM321">#REF!</definedName>
    <definedName name="FORM322">[6]Div.3!$L$272:$V$275</definedName>
    <definedName name="FORM323">#REF!</definedName>
    <definedName name="FORM323L">#REF!</definedName>
    <definedName name="FORM324">#REF!</definedName>
    <definedName name="FORM33">#REF!</definedName>
    <definedName name="FORM331">#REF!</definedName>
    <definedName name="FORM346">#REF!</definedName>
    <definedName name="FORM421">#REF!</definedName>
    <definedName name="FORM422">#REF!</definedName>
    <definedName name="FORM423">#REF!</definedName>
    <definedName name="FORM424">#REF!</definedName>
    <definedName name="FORM425">#REF!</definedName>
    <definedName name="FORM426">#REF!</definedName>
    <definedName name="FORM427">#REF!</definedName>
    <definedName name="FORM511">#REF!</definedName>
    <definedName name="FORM512">#REF!</definedName>
    <definedName name="FORM521">#REF!</definedName>
    <definedName name="FORM522">#REF!</definedName>
    <definedName name="FORM541">#REF!</definedName>
    <definedName name="FORM542">#REF!</definedName>
    <definedName name="FORM611">#REF!</definedName>
    <definedName name="FORM612">#REF!</definedName>
    <definedName name="FORM621">#REF!</definedName>
    <definedName name="FORM622">[6]Div.6!$L$115:$V$171</definedName>
    <definedName name="FORM623">[6]Div.6!$L$172:$V$228</definedName>
    <definedName name="FORM624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51">#REF!</definedName>
    <definedName name="FORM661">#REF!</definedName>
    <definedName name="FORM662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3PL">#REF!</definedName>
    <definedName name="FORM73UL">#REF!</definedName>
    <definedName name="FORM744">#REF!</definedName>
    <definedName name="FORM745">#REF!</definedName>
    <definedName name="FORM751">#REF!</definedName>
    <definedName name="FORM752">#REF!</definedName>
    <definedName name="FORM7610">#REF!</definedName>
    <definedName name="FORM7611">#REF!</definedName>
    <definedName name="FORM7612">#REF!</definedName>
    <definedName name="FORM7612a">#REF!</definedName>
    <definedName name="FORM7612b">#REF!</definedName>
    <definedName name="FORM7612c">#REF!</definedName>
    <definedName name="FORM7613">#REF!</definedName>
    <definedName name="FORM7613a">#REF!</definedName>
    <definedName name="FORM7613b">#REF!</definedName>
    <definedName name="FORM7613c">#REF!</definedName>
    <definedName name="FORM7614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5">#REF!</definedName>
    <definedName name="FORM7616">#REF!</definedName>
    <definedName name="FORM7617">#REF!</definedName>
    <definedName name="FORM7618">#REF!</definedName>
    <definedName name="FORM7619">#REF!</definedName>
    <definedName name="FORM7620">#REF!</definedName>
    <definedName name="FORM7621">#REF!</definedName>
    <definedName name="FORM7625">#REF!</definedName>
    <definedName name="FORM7626">#REF!</definedName>
    <definedName name="FORM767">#REF!</definedName>
    <definedName name="FORM768">#REF!</definedName>
    <definedName name="FORM769">#REF!</definedName>
    <definedName name="FORM76X">#REF!</definedName>
    <definedName name="FORM771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75">#REF!</definedName>
    <definedName name="FORM79">#REF!</definedName>
    <definedName name="FORM79L">#REF!</definedName>
    <definedName name="FORM79manual">#REF!</definedName>
    <definedName name="FORM79mekanis">#REF!</definedName>
    <definedName name="FORM814">[6]Div.8!$L$178:$V$234</definedName>
    <definedName name="FORM815">[6]Div.8!$L$236:$V$292</definedName>
    <definedName name="FORM817">[6]Div.8!$L$294:$V$352</definedName>
    <definedName name="FORM915">#REF!</definedName>
    <definedName name="FORM916">#REF!</definedName>
    <definedName name="FORM917">#REF!</definedName>
    <definedName name="FORM918">#REF!</definedName>
    <definedName name="FORM919">#REF!</definedName>
    <definedName name="FORM920">#REF!</definedName>
    <definedName name="FORM94">#REF!</definedName>
    <definedName name="FORM95">#REF!</definedName>
    <definedName name="FORM96">#REF!</definedName>
    <definedName name="FORM97">#REF!</definedName>
    <definedName name="FORM98">#REF!</definedName>
    <definedName name="FORM99">#REF!</definedName>
    <definedName name="FORMGEOTEKSTIL">#REF!</definedName>
    <definedName name="frc4x10">#REF!</definedName>
    <definedName name="frc4x1x400">#REF!</definedName>
    <definedName name="frc4x25">#REF!</definedName>
    <definedName name="frc4x300">#REF!</definedName>
    <definedName name="frc4x35">#REF!</definedName>
    <definedName name="frc4x95">#REF!</definedName>
    <definedName name="frc5x4">#REF!</definedName>
    <definedName name="frc5x6">#REF!</definedName>
    <definedName name="frsk">#REF!</definedName>
    <definedName name="fs">#REF!</definedName>
    <definedName name="FSB">#REF!</definedName>
    <definedName name="FSDATA">#REF!</definedName>
    <definedName name="FSGDG">#REF!</definedName>
    <definedName name="FST">#REF!</definedName>
    <definedName name="fsvd100">#REF!</definedName>
    <definedName name="fsvd150">#REF!</definedName>
    <definedName name="fsvd65">#REF!</definedName>
    <definedName name="ftgregh">#REF!</definedName>
    <definedName name="Fulvi.mixer">#REF!</definedName>
    <definedName name="FULVIMIXER">#REF!</definedName>
    <definedName name="Furnica___Melamin____1_2_x_2_4__m">#REF!</definedName>
    <definedName name="FURNITURE__FURNISHING">#REF!</definedName>
    <definedName name="g">#REF!</definedName>
    <definedName name="G_2">#REF!</definedName>
    <definedName name="G_3">#REF!</definedName>
    <definedName name="G_4">#REF!</definedName>
    <definedName name="G_5">#REF!</definedName>
    <definedName name="G_6">#REF!</definedName>
    <definedName name="G_7">#REF!</definedName>
    <definedName name="G_8">#REF!</definedName>
    <definedName name="g_9">#REF!</definedName>
    <definedName name="g_9wp">#REF!</definedName>
    <definedName name="G50K">#REF!</definedName>
    <definedName name="Gal_Tanah_Biasa">#REF!</definedName>
    <definedName name="Gal_Tanah_CAdas">#REF!</definedName>
    <definedName name="Gal_Tanh_Krs">#REF!</definedName>
    <definedName name="GALBIS_1">#REF!</definedName>
    <definedName name="GALBIS_2">#REF!</definedName>
    <definedName name="galia.padas">#REF!</definedName>
    <definedName name="galian">[10]analis!$J$10</definedName>
    <definedName name="galian.tnhbiasa">#REF!</definedName>
    <definedName name="Galian_Str_4_6">#REF!</definedName>
    <definedName name="galian_tanah_2m">#REF!</definedName>
    <definedName name="galian_tanah_3m">#REF!</definedName>
    <definedName name="GALIAN_TANAH_BIASA_2M">#REF!</definedName>
    <definedName name="GALIAN_TANAH_KERAS_1M">#REF!</definedName>
    <definedName name="galian_tanahcadas">#REF!</definedName>
    <definedName name="galian_tanahkeras_1m">#REF!</definedName>
    <definedName name="galian_tanahlumpur">#REF!</definedName>
    <definedName name="Galian_tnp_CM">#REF!</definedName>
    <definedName name="galianberbatu">#REF!</definedName>
    <definedName name="galiantanah">[11]analis!$J$10</definedName>
    <definedName name="galiantanahbiasa">#REF!</definedName>
    <definedName name="GalianTanahCadas">#REF!</definedName>
    <definedName name="GalianTanahKeras">#REF!</definedName>
    <definedName name="galiantanahkonstruksi">#REF!</definedName>
    <definedName name="GalianTanahPasirDlmAir">#REF!</definedName>
    <definedName name="galmandor">#REF!</definedName>
    <definedName name="GALSEL_1">#REF!</definedName>
    <definedName name="GALSEL_2">#REF!</definedName>
    <definedName name="GalTanahPasirBiasa">#REF!</definedName>
    <definedName name="Genteng_soka_kodok">#REF!</definedName>
    <definedName name="ggg">[11]analis!$J$59</definedName>
    <definedName name="GIU">#REF!</definedName>
    <definedName name="gl3p">#REF!</definedName>
    <definedName name="GONDOLA">#REF!</definedName>
    <definedName name="GONDOLA_A">#REF!</definedName>
    <definedName name="GONDOLA_B">#REF!</definedName>
    <definedName name="GONDOLA_C">#REF!</definedName>
    <definedName name="GORONG120_1">#REF!</definedName>
    <definedName name="GORONG120_2">#REF!</definedName>
    <definedName name="GORONG75_1">#REF!</definedName>
    <definedName name="GORONG75_2">#REF!</definedName>
    <definedName name="govpd15">#REF!</definedName>
    <definedName name="gpek">#REF!</definedName>
    <definedName name="GRAND_PALEMBANG_HOTEL___PALEMBANG">#REF!</definedName>
    <definedName name="Granito_1030">#REF!</definedName>
    <definedName name="Granito_1040">#REF!</definedName>
    <definedName name="Granito_30">#REF!</definedName>
    <definedName name="Granito_40">#REF!</definedName>
    <definedName name="Granito1030">#REF!</definedName>
    <definedName name="Granito1040">#REF!</definedName>
    <definedName name="Granito30">#REF!</definedName>
    <definedName name="Granito40">#REF!</definedName>
    <definedName name="granito6060">[13]Bahan!$F$85</definedName>
    <definedName name="grc">#REF!</definedName>
    <definedName name="GRENDEL_PINTU">#REF!</definedName>
    <definedName name="GROUND_FLOOR">#REF!</definedName>
    <definedName name="gs110g">#REF!</definedName>
    <definedName name="gs14g">#REF!</definedName>
    <definedName name="gs55g">#REF!</definedName>
    <definedName name="gs6g">#REF!</definedName>
    <definedName name="gs80g">#REF!</definedName>
    <definedName name="gsekring">#REF!</definedName>
    <definedName name="GT">#REF!</definedName>
    <definedName name="gv1ab">#REF!</definedName>
    <definedName name="gv34ab">#REF!</definedName>
    <definedName name="gvd0.5">#REF!</definedName>
    <definedName name="gvd0.75">#REF!</definedName>
    <definedName name="gvd1.25">#REF!</definedName>
    <definedName name="gvd1.5">#REF!</definedName>
    <definedName name="gvd2.5">#REF!</definedName>
    <definedName name="H.2s.">#REF!</definedName>
    <definedName name="H.2Sp.">#REF!</definedName>
    <definedName name="h_4040">#REF!</definedName>
    <definedName name="HAJIME">#REF!</definedName>
    <definedName name="HANDLE_PINTU_ALUMINIUM_COMB">#REF!</definedName>
    <definedName name="HANDLE_PINTU_STAINLESS_BULAT">#REF!</definedName>
    <definedName name="hdw">#REF!</definedName>
    <definedName name="Head">#REF!</definedName>
    <definedName name="Head_6">#REF!</definedName>
    <definedName name="headshower">#REF!</definedName>
    <definedName name="HEKTO_1">#REF!</definedName>
    <definedName name="HEKTO_2">#REF!</definedName>
    <definedName name="Hello">#N/A</definedName>
    <definedName name="HEXAS">#REF!</definedName>
    <definedName name="hh">[11]analis!$J$324</definedName>
    <definedName name="hhu">[11]analis!$J$417</definedName>
    <definedName name="hil">#REF!</definedName>
    <definedName name="hsdc1">#REF!</definedName>
    <definedName name="HSDN">2.5</definedName>
    <definedName name="HSHH">#REF!</definedName>
    <definedName name="HSHHUT">#REF!</definedName>
    <definedName name="hspt">#REF!</definedName>
    <definedName name="hsut">#REF!</definedName>
    <definedName name="HSVC3">#REF!</definedName>
    <definedName name="hswt">#REF!</definedName>
    <definedName name="HT">#REF!</definedName>
    <definedName name="HT_6">#REF!</definedName>
    <definedName name="I_LPOS">#REF!</definedName>
    <definedName name="I_LU">#REF!</definedName>
    <definedName name="i2a">#REF!</definedName>
    <definedName name="i2b">#REF!</definedName>
    <definedName name="i2c">#REF!</definedName>
    <definedName name="i2d">#REF!</definedName>
    <definedName name="i2e">#REF!</definedName>
    <definedName name="ihb">#REF!</definedName>
    <definedName name="ihbl">#REF!</definedName>
    <definedName name="II_LATAP">#REF!</definedName>
    <definedName name="II_LD">#REF!</definedName>
    <definedName name="II_LPOS">#REF!</definedName>
    <definedName name="II_LU">#REF!</definedName>
    <definedName name="III">#REF!</definedName>
    <definedName name="III_L1">#REF!</definedName>
    <definedName name="III_L2">#REF!</definedName>
    <definedName name="III_L3">#REF!</definedName>
    <definedName name="III_LATAP">#REF!</definedName>
    <definedName name="III_LD">#REF!</definedName>
    <definedName name="III_LPOS">#REF!</definedName>
    <definedName name="III_LU">#REF!</definedName>
    <definedName name="ijuk">#REF!</definedName>
    <definedName name="IKUT_CELEDU_FIBER">#REF!</definedName>
    <definedName name="Induk1">#REF!</definedName>
    <definedName name="Induk2">#REF!</definedName>
    <definedName name="INST_LAMPU">#REF!</definedName>
    <definedName name="INSU">#REF!</definedName>
    <definedName name="ITEM">#REF!</definedName>
    <definedName name="IV_LD">#REF!</definedName>
    <definedName name="IV_UPOS">#REF!</definedName>
    <definedName name="J_18">#REF!</definedName>
    <definedName name="J_19">#REF!</definedName>
    <definedName name="J_20">#REF!</definedName>
    <definedName name="J_20A">#REF!</definedName>
    <definedName name="J_21">#REF!</definedName>
    <definedName name="J_22">#REF!</definedName>
    <definedName name="J_23">#REF!</definedName>
    <definedName name="J_7">#REF!</definedName>
    <definedName name="J_7A">#REF!</definedName>
    <definedName name="J_8">#REF!</definedName>
    <definedName name="J_8A">#REF!</definedName>
    <definedName name="J_9">#REF!</definedName>
    <definedName name="J_9A">#REF!</definedName>
    <definedName name="J1_1">#REF!</definedName>
    <definedName name="J11_BL8">#REF!</definedName>
    <definedName name="J2_1">#REF!</definedName>
    <definedName name="J3_2">#REF!</definedName>
    <definedName name="J4_2">#REF!</definedName>
    <definedName name="J7_BL8">#REF!</definedName>
    <definedName name="J8_BL8">#REF!</definedName>
    <definedName name="J9_BL8">#REF!</definedName>
    <definedName name="JALUSI_KAYU_KRUING">#REF!</definedName>
    <definedName name="jaraksengkang">#REF!</definedName>
    <definedName name="JASA">#REF!</definedName>
    <definedName name="JEFTA">#REF!</definedName>
    <definedName name="Jendela_kaca">#REF!</definedName>
    <definedName name="jendelakaca">[11]analis!$J$348</definedName>
    <definedName name="JETWASHER">#REF!</definedName>
    <definedName name="jik">#REF!</definedName>
    <definedName name="jj">[11]analis!$J$200</definedName>
    <definedName name="jl">[11]analis!$J$224</definedName>
    <definedName name="JPEMBA">#REF!</definedName>
    <definedName name="JPENING">#REF!</definedName>
    <definedName name="JREHAB">#REF!</definedName>
    <definedName name="JUTA">#REF!</definedName>
    <definedName name="JUTEK">#REF!</definedName>
    <definedName name="K.010">#REF!</definedName>
    <definedName name="K.011">#REF!</definedName>
    <definedName name="K.012">#REF!</definedName>
    <definedName name="K.013">#REF!</definedName>
    <definedName name="K.014">#REF!</definedName>
    <definedName name="K.016">#REF!</definedName>
    <definedName name="K.017">#REF!</definedName>
    <definedName name="K.018">#REF!</definedName>
    <definedName name="K.020">#REF!</definedName>
    <definedName name="K.024">#REF!</definedName>
    <definedName name="K.025">#REF!</definedName>
    <definedName name="K.026">#REF!</definedName>
    <definedName name="K.035">#REF!</definedName>
    <definedName name="K.040">#REF!</definedName>
    <definedName name="K.110">#REF!</definedName>
    <definedName name="K.111">#REF!</definedName>
    <definedName name="K.112">#REF!</definedName>
    <definedName name="K.113">#REF!</definedName>
    <definedName name="K.114">#REF!</definedName>
    <definedName name="K.115">#REF!</definedName>
    <definedName name="K.116">#REF!</definedName>
    <definedName name="k.118">#REF!</definedName>
    <definedName name="k.12">#REF!</definedName>
    <definedName name="K.127">#REF!</definedName>
    <definedName name="K.139">#REF!</definedName>
    <definedName name="K.210">#REF!</definedName>
    <definedName name="K.211">#REF!</definedName>
    <definedName name="K.220">#REF!</definedName>
    <definedName name="K.221">#REF!</definedName>
    <definedName name="K.224">#REF!</definedName>
    <definedName name="k.225">#REF!</definedName>
    <definedName name="k.275">#REF!</definedName>
    <definedName name="K.311">#REF!</definedName>
    <definedName name="K.311A">'[18]112-885'!$A$6083:$M$6162</definedName>
    <definedName name="K.311B">'[18]112-885'!$A$6163:$M$6242</definedName>
    <definedName name="K.314">#REF!</definedName>
    <definedName name="K.320">#REF!</definedName>
    <definedName name="K.321">#REF!</definedName>
    <definedName name="K.341">#REF!</definedName>
    <definedName name="K.342">#REF!</definedName>
    <definedName name="K.363">#REF!</definedName>
    <definedName name="k.400">#REF!</definedName>
    <definedName name="K.410">#REF!</definedName>
    <definedName name="K.411">#REF!</definedName>
    <definedName name="K.411A">'[18]112-885'!$A$6083:$M$6162</definedName>
    <definedName name="K.420">#REF!</definedName>
    <definedName name="K.421">#REF!</definedName>
    <definedName name="K.422">#REF!</definedName>
    <definedName name="K.423">#REF!</definedName>
    <definedName name="K.424">#REF!</definedName>
    <definedName name="K.424A">'[18]112-885'!$A$6001:$M$6082</definedName>
    <definedName name="K.510">#REF!</definedName>
    <definedName name="K.511">#REF!</definedName>
    <definedName name="K.512">#REF!</definedName>
    <definedName name="K.513">#REF!</definedName>
    <definedName name="K.514">#REF!</definedName>
    <definedName name="K.515">#REF!</definedName>
    <definedName name="K.516">#REF!</definedName>
    <definedName name="K.517">#REF!</definedName>
    <definedName name="K.520">#REF!</definedName>
    <definedName name="K.521">#REF!</definedName>
    <definedName name="K.522">#REF!</definedName>
    <definedName name="K.528">#REF!</definedName>
    <definedName name="K.612">#REF!</definedName>
    <definedName name="K.615">#REF!</definedName>
    <definedName name="K.616">#REF!</definedName>
    <definedName name="K.618">#REF!</definedName>
    <definedName name="K.621">#REF!</definedName>
    <definedName name="K.636">#REF!</definedName>
    <definedName name="K.638">#REF!</definedName>
    <definedName name="K.638A">#REF!</definedName>
    <definedName name="K.639">#REF!</definedName>
    <definedName name="K.641">#REF!</definedName>
    <definedName name="K.705">#REF!</definedName>
    <definedName name="K.705A">#REF!</definedName>
    <definedName name="K.710">#REF!</definedName>
    <definedName name="K.715">#REF!</definedName>
    <definedName name="K.719">#REF!</definedName>
    <definedName name="K.720">#REF!</definedName>
    <definedName name="K.721">#REF!</definedName>
    <definedName name="k.721a">#REF!</definedName>
    <definedName name="K.722">#REF!</definedName>
    <definedName name="K.724">#REF!</definedName>
    <definedName name="K.725">#REF!</definedName>
    <definedName name="K.810">#REF!</definedName>
    <definedName name="K.810A">#REF!</definedName>
    <definedName name="K.880">#REF!</definedName>
    <definedName name="K.885">#REF!</definedName>
    <definedName name="K.A18">#REF!</definedName>
    <definedName name="K_125_1">#REF!</definedName>
    <definedName name="K_125_2">#REF!</definedName>
    <definedName name="K_175_1">#REF!</definedName>
    <definedName name="K_175_2">#REF!</definedName>
    <definedName name="K_175_3">#REF!</definedName>
    <definedName name="K_175_4">#REF!</definedName>
    <definedName name="K_225_1">#REF!</definedName>
    <definedName name="K_225_2">#REF!</definedName>
    <definedName name="K_275_1">#REF!</definedName>
    <definedName name="K_275_2">#REF!</definedName>
    <definedName name="k_300">#REF!</definedName>
    <definedName name="K_350">#REF!</definedName>
    <definedName name="K_350_1">#REF!</definedName>
    <definedName name="K_350_2">#REF!</definedName>
    <definedName name="kab">#REF!</definedName>
    <definedName name="KACA_A">#REF!</definedName>
    <definedName name="KACA_B">#REF!</definedName>
    <definedName name="KACA_BASE">#REF!</definedName>
    <definedName name="KACA_BENING_3MM">#REF!</definedName>
    <definedName name="KACA_C">#REF!</definedName>
    <definedName name="KACA_CERMIN_5MM">#REF!</definedName>
    <definedName name="KACA_ES_3MM">#REF!</definedName>
    <definedName name="KACA_ES_5MM">#REF!</definedName>
    <definedName name="Kaca_mati_5mm">#REF!</definedName>
    <definedName name="Kaca_nako_reyben_5mm">#REF!</definedName>
    <definedName name="KACA_TEMPERED_12MM">#REF!</definedName>
    <definedName name="kacamati">[11]analis!$J$378</definedName>
    <definedName name="Kait_angin_solid">#REF!</definedName>
    <definedName name="Kansten_Pracetak">#REF!</definedName>
    <definedName name="Kanstenpracetak">#REF!</definedName>
    <definedName name="kantin">#REF!</definedName>
    <definedName name="kantor_sementara_1m2">#REF!</definedName>
    <definedName name="kantor_sementara1m">#REF!</definedName>
    <definedName name="kapkamper">#REF!</definedName>
    <definedName name="kapkruing">#REF!</definedName>
    <definedName name="karangguak">#REF!</definedName>
    <definedName name="karangtapel">#REF!</definedName>
    <definedName name="KaretDelatasi">#REF!</definedName>
    <definedName name="KASARHALUS">#REF!</definedName>
    <definedName name="Kayu_klas_IV">#REF!</definedName>
    <definedName name="kayu_kusen_oven">#REF!</definedName>
    <definedName name="Kayu_lokal">#REF!</definedName>
    <definedName name="kBalokFe125">#REF!</definedName>
    <definedName name="kBalokFe175">#REF!</definedName>
    <definedName name="Kc_mati">#REF!</definedName>
    <definedName name="Kcmati">#REF!</definedName>
    <definedName name="kd">#REF!</definedName>
    <definedName name="KE">#REF!</definedName>
    <definedName name="KENEK_TRUK">#REF!</definedName>
    <definedName name="kepala_tk_batu">#REF!</definedName>
    <definedName name="kepala_tk_besi">#REF!</definedName>
    <definedName name="kepala_tk_cat">#REF!</definedName>
    <definedName name="kepala_tk_kayu">#REF!</definedName>
    <definedName name="KEPALA_TUKANG_BATU">#REF!</definedName>
    <definedName name="KEPALA_TUKANG_BESI_BETON">#REF!</definedName>
    <definedName name="KEPALA_TUKANG_BESI_PROFIL">#REF!</definedName>
    <definedName name="KEPALA_TUKANG_CAT___PELITUR">#REF!</definedName>
    <definedName name="KEPALA_TUKANG_KAYU">#REF!</definedName>
    <definedName name="KERAMIK_20x20_POLOS">#REF!</definedName>
    <definedName name="Keramik_30">#REF!</definedName>
    <definedName name="KERAMIK_30x30_ANTISLIP">#REF!</definedName>
    <definedName name="KERAMIK_40x40_ANTISLIP">#REF!</definedName>
    <definedName name="Keramik_40x40_motifbatu">#REF!</definedName>
    <definedName name="Keramik_dinding_20x25">#REF!</definedName>
    <definedName name="Keramik_kuku_macan__30x30__cm">#REF!</definedName>
    <definedName name="Keramik20">#REF!</definedName>
    <definedName name="Keramik30">#REF!</definedName>
    <definedName name="Keramikdinding20">#REF!</definedName>
    <definedName name="KeramikDinding2025">#REF!</definedName>
    <definedName name="kfs">#REF!</definedName>
    <definedName name="kgs">#REF!</definedName>
    <definedName name="KILO_1">#REF!</definedName>
    <definedName name="KILO_2">#REF!</definedName>
    <definedName name="Kistdam">#REF!</definedName>
    <definedName name="kitc100x2x0.6">#REF!</definedName>
    <definedName name="kitc2x100x2x0.6">#REF!</definedName>
    <definedName name="kitchen">#REF!</definedName>
    <definedName name="kitchen_zink">#REF!</definedName>
    <definedName name="kji">#REF!</definedName>
    <definedName name="kk10a">#REF!</definedName>
    <definedName name="kk16a">#REF!</definedName>
    <definedName name="kkm">#REF!</definedName>
    <definedName name="kknymhy">#REF!</definedName>
    <definedName name="kKolomFe100">#REF!</definedName>
    <definedName name="kKolomFe125">#REF!</definedName>
    <definedName name="kKolomFe175">#REF!</definedName>
    <definedName name="kKolomFe275">#REF!</definedName>
    <definedName name="kKolomFe300">#REF!</definedName>
    <definedName name="kkt">#REF!</definedName>
    <definedName name="kkts">#REF!</definedName>
    <definedName name="kl_2020">#REF!</definedName>
    <definedName name="kl_2025">#REF!</definedName>
    <definedName name="kl_3030">#REF!</definedName>
    <definedName name="KLAS_A1">#REF!</definedName>
    <definedName name="KLAS_A2">#REF!</definedName>
    <definedName name="KLAS_A3">#REF!</definedName>
    <definedName name="KLAS_B1">#REF!</definedName>
    <definedName name="KLAS_B2">#REF!</definedName>
    <definedName name="KLAS_B3">#REF!</definedName>
    <definedName name="klb">#REF!</definedName>
    <definedName name="KLOSET_DUDUK">#REF!</definedName>
    <definedName name="KLOSET_JONGKOK">#REF!</definedName>
    <definedName name="klosjong">#REF!</definedName>
    <definedName name="klp">#REF!</definedName>
    <definedName name="km">#REF!</definedName>
    <definedName name="kmcs">#REF!</definedName>
    <definedName name="kmm">#REF!</definedName>
    <definedName name="KODE">#REF!</definedName>
    <definedName name="koef1">#REF!</definedName>
    <definedName name="koeflingg">#REF!</definedName>
    <definedName name="koeflingk">#REF!</definedName>
    <definedName name="kof">#REF!</definedName>
    <definedName name="kokerbek">#REF!</definedName>
    <definedName name="kokerdin">#REF!</definedName>
    <definedName name="kokerlan">#REF!</definedName>
    <definedName name="koling">#REF!</definedName>
    <definedName name="KOLOM_110KG">#REF!</definedName>
    <definedName name="KOLOM_120KG">#REF!</definedName>
    <definedName name="KOLOM_140KG">#REF!</definedName>
    <definedName name="KOLOM_150KG">#REF!</definedName>
    <definedName name="KOLOM_160KG">#REF!</definedName>
    <definedName name="KOLOM_170KG">#REF!</definedName>
    <definedName name="KOLOM_180KG">#REF!</definedName>
    <definedName name="KOLOM_190KG">#REF!</definedName>
    <definedName name="KOLOM_200KG">#REF!</definedName>
    <definedName name="KOLOM_210KG">#REF!</definedName>
    <definedName name="KOLOM_220KG">#REF!</definedName>
    <definedName name="KOLOM_230KG">#REF!</definedName>
    <definedName name="KOLOM_240KG">#REF!</definedName>
    <definedName name="KOLOM_250KG">#REF!</definedName>
    <definedName name="KOLOM_260KG">#REF!</definedName>
    <definedName name="KOLOM_270KG">#REF!</definedName>
    <definedName name="KOLOM_280KG">#REF!</definedName>
    <definedName name="KOLOM_290KG">#REF!</definedName>
    <definedName name="KOLOM_300KG">#REF!</definedName>
    <definedName name="KOLOM_310KG">#REF!</definedName>
    <definedName name="KOLOM_320KG">#REF!</definedName>
    <definedName name="KOLOM_330KG">#REF!</definedName>
    <definedName name="KOLOM_340KG">#REF!</definedName>
    <definedName name="KOLOM_350KG">#REF!</definedName>
    <definedName name="KOLOM_PRAKTIS">#REF!</definedName>
    <definedName name="Kolom_praktis_11x11">#REF!</definedName>
    <definedName name="kolom1313">[10]analis!$J$161</definedName>
    <definedName name="kolom1515">#REF!</definedName>
    <definedName name="kolom2020">#REF!</definedName>
    <definedName name="kolom2525">[10]analis!$J$153</definedName>
    <definedName name="kolom3030">#REF!</definedName>
    <definedName name="kolom3050">#REF!</definedName>
    <definedName name="kolompraktis">#REF!</definedName>
    <definedName name="KOP">#REF!</definedName>
    <definedName name="koral">#REF!</definedName>
    <definedName name="KORAL_SIKAT">#REF!</definedName>
    <definedName name="kPaving8">#REF!</definedName>
    <definedName name="kPelatFe125">#REF!</definedName>
    <definedName name="kPelatFe150">#REF!</definedName>
    <definedName name="kPondasiFe125">#REF!</definedName>
    <definedName name="kPondasiFe175">#REF!</definedName>
    <definedName name="Kramik_20">#REF!</definedName>
    <definedName name="Kramik_Dinding20">#REF!</definedName>
    <definedName name="KRAN_AIR_PANAS_DINGIN">#REF!</definedName>
    <definedName name="Kran_biasa">#REF!</definedName>
    <definedName name="KRAN_LEHER_ANGSA">#REF!</definedName>
    <definedName name="KRAN_WASTAFEL">#REF!</definedName>
    <definedName name="kRangkaPlf105">#REF!</definedName>
    <definedName name="kRangkaPlf105Mranti">#REF!</definedName>
    <definedName name="kRangkPlf25Bks">#REF!</definedName>
    <definedName name="kRangkPlf25BksMranti">#REF!</definedName>
    <definedName name="kRangkPlf50Bks">#REF!</definedName>
    <definedName name="kRangkPlf50BksMranti">#REF!</definedName>
    <definedName name="kRangkPlf70BksMeranti">#REF!</definedName>
    <definedName name="kranshow">#REF!</definedName>
    <definedName name="kranwas">#REF!</definedName>
    <definedName name="krazu">#REF!</definedName>
    <definedName name="Krc">#REF!</definedName>
    <definedName name="krd">#REF!</definedName>
    <definedName name="KRMDDG20">#REF!</definedName>
    <definedName name="KRMDDG30">#REF!</definedName>
    <definedName name="KRMLT20">#REF!</definedName>
    <definedName name="KRMLT30">#REF!</definedName>
    <definedName name="KRMLT40">#REF!</definedName>
    <definedName name="kruing">#REF!</definedName>
    <definedName name="ksk">#REF!</definedName>
    <definedName name="ksl">#REF!</definedName>
    <definedName name="kSloofFe300">#REF!</definedName>
    <definedName name="ksp">#REF!</definedName>
    <definedName name="ksr">#REF!</definedName>
    <definedName name="kst">#REF!</definedName>
    <definedName name="KT">#REF!</definedName>
    <definedName name="kTanggaFe125">#REF!</definedName>
    <definedName name="kTanggaFe175">#REF!</definedName>
    <definedName name="KTB">#REF!</definedName>
    <definedName name="KTBA">#REF!</definedName>
    <definedName name="KTBAT">#REF!</definedName>
    <definedName name="KTBatu">#REF!</definedName>
    <definedName name="KTBE">#REF!</definedName>
    <definedName name="KTBES">#REF!</definedName>
    <definedName name="KTBesi">#REF!</definedName>
    <definedName name="KTC">#REF!</definedName>
    <definedName name="KTCat">#REF!</definedName>
    <definedName name="KTK">#REF!</definedName>
    <definedName name="ktk.Ls">#REF!</definedName>
    <definedName name="KTKayu">#REF!</definedName>
    <definedName name="ktpm">#REF!</definedName>
    <definedName name="KTSB">#REF!</definedName>
    <definedName name="KUANTITAS">#REF!</definedName>
    <definedName name="Kuda_Bajaringan">#REF!</definedName>
    <definedName name="Kuda_Jati">#REF!</definedName>
    <definedName name="Kuda_Jati_ekspos">#REF!</definedName>
    <definedName name="Kuda_Kamper">#REF!</definedName>
    <definedName name="Kuda_Kmper_ekspos">#REF!</definedName>
    <definedName name="Kuda_Kruing">#REF!</definedName>
    <definedName name="Kudabajaringan">#REF!</definedName>
    <definedName name="Kudajati">#REF!</definedName>
    <definedName name="Kudajatiekspose">#REF!</definedName>
    <definedName name="Kudakamper">#REF!</definedName>
    <definedName name="Kudakamperekspose">#REF!</definedName>
    <definedName name="Kudakruing">#REF!</definedName>
    <definedName name="KUNCI_BULAT">#REF!</definedName>
    <definedName name="KUNCI_TANAM_2X_PUTAR">#REF!</definedName>
    <definedName name="Kunci_utama_solid">#REF!</definedName>
    <definedName name="Kupas_Plesteran">#REF!</definedName>
    <definedName name="KupasPlesteran">#REF!</definedName>
    <definedName name="Kursi_Guru">#REF!</definedName>
    <definedName name="KURUG">#REF!</definedName>
    <definedName name="kusen">[11]analis!$J$332</definedName>
    <definedName name="KUSEN__PINTU__JENDELA__ALAT_ALAT_PENGGANTUNG_DAN_CURTAIN_WALL">#REF!</definedName>
    <definedName name="Kusen_1m3_Kls2">#REF!</definedName>
    <definedName name="KUSEN_A">#REF!</definedName>
    <definedName name="KUSEN_B">#REF!</definedName>
    <definedName name="KUSEN_BASE">#REF!</definedName>
    <definedName name="KUSEN_C">#REF!</definedName>
    <definedName name="Kusen_Jati">#REF!</definedName>
    <definedName name="Kusen_Kamper">#REF!</definedName>
    <definedName name="KUSEN_PINTU_JENDELA_KAYU_KLS_I">#REF!</definedName>
    <definedName name="KUSEN_PINTU_JENDELA_KAYU_KLS_II_III">#REF!</definedName>
    <definedName name="Kusenjati">#REF!</definedName>
    <definedName name="Kusenkamper">#REF!</definedName>
    <definedName name="kwh1st">#REF!</definedName>
    <definedName name="kwh3st">#REF!</definedName>
    <definedName name="ky">#REF!</definedName>
    <definedName name="L.5">#REF!</definedName>
    <definedName name="L_A">#REF!</definedName>
    <definedName name="L_B">#REF!</definedName>
    <definedName name="L_BASE">#REF!</definedName>
    <definedName name="L_bowh_ø_2___maspion_D">#REF!</definedName>
    <definedName name="L_bowh_ø_4___maspion_D">#REF!</definedName>
    <definedName name="L_C">#REF!</definedName>
    <definedName name="l1ti50">#REF!</definedName>
    <definedName name="l1ti60">#REF!</definedName>
    <definedName name="l3l100">#REF!</definedName>
    <definedName name="l3l50">#REF!</definedName>
    <definedName name="l3l60">#REF!</definedName>
    <definedName name="l3l70">#REF!</definedName>
    <definedName name="l3l80">#REF!</definedName>
    <definedName name="l3ld100">#REF!</definedName>
    <definedName name="l3ld50">#REF!</definedName>
    <definedName name="l3ld60">#REF!</definedName>
    <definedName name="l3ld70">#REF!</definedName>
    <definedName name="l3ld80">#REF!</definedName>
    <definedName name="l3ti50">#REF!</definedName>
    <definedName name="l3ti60">#REF!</definedName>
    <definedName name="l3ti80">#REF!</definedName>
    <definedName name="l3tisf50">#REF!</definedName>
    <definedName name="l3tisf60">#REF!</definedName>
    <definedName name="laba">#REF!</definedName>
    <definedName name="LABO">#REF!</definedName>
    <definedName name="laker">#REF!</definedName>
    <definedName name="Lambersiring_rangka">#REF!</definedName>
    <definedName name="Lambriziring_rangka">#REF!</definedName>
    <definedName name="LANTAI_P3">#REF!</definedName>
    <definedName name="lantaibak">#REF!</definedName>
    <definedName name="lapis.agg.klasB">#REF!</definedName>
    <definedName name="lapisaggr.klasA">#REF!</definedName>
    <definedName name="Lapon.5.B">#REF!</definedName>
    <definedName name="lapon.8.1.5">#REF!</definedName>
    <definedName name="laptenis">#REF!</definedName>
    <definedName name="las.dop">#REF!</definedName>
    <definedName name="Laston">#REF!</definedName>
    <definedName name="laston.3">#REF!</definedName>
    <definedName name="laston.m2">#REF!</definedName>
    <definedName name="Le_mari">#REF!</definedName>
    <definedName name="leb">#REF!</definedName>
    <definedName name="lgld100">#REF!</definedName>
    <definedName name="lgld70">#REF!</definedName>
    <definedName name="lgld80">#REF!</definedName>
    <definedName name="lgti50">#REF!</definedName>
    <definedName name="lgti60">#REF!</definedName>
    <definedName name="lgti70">#REF!</definedName>
    <definedName name="lgtisf50">#REF!</definedName>
    <definedName name="lgtisf60">#REF!</definedName>
    <definedName name="LIS_GYPSUM_2x5">#REF!</definedName>
    <definedName name="LIS_GYPSUM_5">#REF!</definedName>
    <definedName name="LIS_GYPSUM_9">#REF!</definedName>
    <definedName name="LIS_KAYU_PROFIL_7cm">#REF!</definedName>
    <definedName name="LIS_KERAMIK_7X20">#REF!</definedName>
    <definedName name="LIS_KERAMIK_DINDING_5X20">#REF!</definedName>
    <definedName name="LISPLANK_KAYU_3x20">#REF!</definedName>
    <definedName name="List_gibs_9x9">#REF!</definedName>
    <definedName name="List_gifs_7x7">#REF!</definedName>
    <definedName name="List_Kalor15">#REF!</definedName>
    <definedName name="List_Kalor35">#REF!</definedName>
    <definedName name="List_Trip34">#REF!</definedName>
    <definedName name="List_Trip4">#REF!</definedName>
    <definedName name="List35">#REF!</definedName>
    <definedName name="Listkalor15">#REF!</definedName>
    <definedName name="Listkalor35">#REF!</definedName>
    <definedName name="listpalankkamper">#REF!</definedName>
    <definedName name="listplank">[11]analis!$J$269</definedName>
    <definedName name="Listplank_3_15">#REF!</definedName>
    <definedName name="Listplank_3_30">#REF!</definedName>
    <definedName name="listplankkamper">#REF!</definedName>
    <definedName name="ListTrip34">#REF!</definedName>
    <definedName name="Listtrip4">#REF!</definedName>
    <definedName name="ListTrip4cm">#REF!</definedName>
    <definedName name="Listtripleks34">#REF!</definedName>
    <definedName name="LLL">#REF!</definedName>
    <definedName name="LOAD">#REF!</definedName>
    <definedName name="LOBBY">#REF!</definedName>
    <definedName name="LOBY_A">#REF!</definedName>
    <definedName name="LOBY_B">#REF!</definedName>
    <definedName name="LOBY_BASE">#REF!</definedName>
    <definedName name="LOBY_C">#REF!</definedName>
    <definedName name="lockset">#REF!</definedName>
    <definedName name="lp">#REF!</definedName>
    <definedName name="lp100nb">#REF!</definedName>
    <definedName name="lp36nb">#REF!</definedName>
    <definedName name="ltkerja">#REF!</definedName>
    <definedName name="luas">#REF!</definedName>
    <definedName name="luas_a">#REF!</definedName>
    <definedName name="Luas_Bangunan">#REF!</definedName>
    <definedName name="luas_s">#REF!</definedName>
    <definedName name="luaspnp">#REF!</definedName>
    <definedName name="luaspnp1">#REF!</definedName>
    <definedName name="M">#REF!</definedName>
    <definedName name="M.54">#REF!</definedName>
    <definedName name="M.55">#REF!</definedName>
    <definedName name="M.56">#REF!</definedName>
    <definedName name="M.57">#REF!</definedName>
    <definedName name="M.67">#REF!</definedName>
    <definedName name="M1H1">#REF!</definedName>
    <definedName name="Macadam">#REF!</definedName>
    <definedName name="mai">#REF!</definedName>
    <definedName name="mandor">[19]Bahan!$F$104</definedName>
    <definedName name="mark_up">#REF!</definedName>
    <definedName name="Marka">#REF!</definedName>
    <definedName name="MARKA_1">#REF!</definedName>
    <definedName name="MARKA_2">#REF!</definedName>
    <definedName name="markajalan">#REF!</definedName>
    <definedName name="MARKUP">#REF!</definedName>
    <definedName name="mat">#REF!</definedName>
    <definedName name="MATERIAL">[6]Basic!$A$33:$G$84</definedName>
    <definedName name="MBBESI_6">#REF!</definedName>
    <definedName name="mbbrick">#REF!</definedName>
    <definedName name="mbbrick_6">#REF!</definedName>
    <definedName name="mbbwat">#REF!</definedName>
    <definedName name="mbbwat_6">#REF!</definedName>
    <definedName name="mcrane">#REF!</definedName>
    <definedName name="mcs">#REF!</definedName>
    <definedName name="MD">'[20]ANALISA OKE'!$E$15</definedName>
    <definedName name="ME">#REF!</definedName>
    <definedName name="Meja_Belajar">#REF!</definedName>
    <definedName name="Meja_Guru">#REF!</definedName>
    <definedName name="Mekanik">#REF!</definedName>
    <definedName name="MenempatkanBesiBeton">#REF!</definedName>
    <definedName name="MENUAL">#REF!</definedName>
    <definedName name="MENUB">#REF!</definedName>
    <definedName name="MENUBOQ">#REF!</definedName>
    <definedName name="MENUBT">#REF!</definedName>
    <definedName name="Mesin_gergaji">#REF!</definedName>
    <definedName name="Mesin_las">#REF!</definedName>
    <definedName name="Mesin_Potong_ChainShaw">#REF!</definedName>
    <definedName name="Mesin_potong_plat">#REF!</definedName>
    <definedName name="mesingilas">#REF!</definedName>
    <definedName name="MINOR">#REF!</definedName>
    <definedName name="MISC">#REF!</definedName>
    <definedName name="MIXER">#REF!</definedName>
    <definedName name="mm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OB">#REF!</definedName>
    <definedName name="MOBILISASI">#REF!</definedName>
    <definedName name="MP_312">#REF!</definedName>
    <definedName name="MP_312b">#REF!</definedName>
    <definedName name="MP_321">#REF!</definedName>
    <definedName name="MP_322">#REF!</definedName>
    <definedName name="MP_33">#REF!</definedName>
    <definedName name="mu_6">#REF!</definedName>
    <definedName name="mua">#REF!</definedName>
    <definedName name="mua_6">#REF!</definedName>
    <definedName name="mualat">#REF!</definedName>
    <definedName name="mualat_6">#REF!</definedName>
    <definedName name="murbaut22">#REF!</definedName>
    <definedName name="murbautklem">#REF!</definedName>
    <definedName name="MURDA_FIBER">#REF!</definedName>
    <definedName name="mus">#REF!</definedName>
    <definedName name="musan">#REF!</definedName>
    <definedName name="musola">#REF!</definedName>
    <definedName name="N.25">#REF!</definedName>
    <definedName name="nama">[16]analis!$J$330</definedName>
    <definedName name="NEW">#REF!</definedName>
    <definedName name="ngaci">[11]analis!$J$82</definedName>
    <definedName name="NGRA">#REF!</definedName>
    <definedName name="nhn">#REF!</definedName>
    <definedName name="nind1p">#REF!</definedName>
    <definedName name="nind3p">#REF!</definedName>
    <definedName name="NIPDIR">#REF!</definedName>
    <definedName name="NIPER">#REF!</definedName>
    <definedName name="NOIFS">#REF!</definedName>
    <definedName name="NOIP">#REF!</definedName>
    <definedName name="NOIT">#REF!</definedName>
    <definedName name="NOMFS">#REF!</definedName>
    <definedName name="NOMP">#REF!</definedName>
    <definedName name="NOMT">#REF!</definedName>
    <definedName name="NYA1C">#REF!</definedName>
    <definedName name="nyfgby3x6lt">#REF!</definedName>
    <definedName name="nyfgby4x6lt">#REF!</definedName>
    <definedName name="nyfgby4x95">#REF!</definedName>
    <definedName name="nyfgby5x6lt">#REF!</definedName>
    <definedName name="NYM2C">#REF!</definedName>
    <definedName name="nym32.5">#REF!</definedName>
    <definedName name="nym3x2.5flt">#REF!</definedName>
    <definedName name="nym42.5">#REF!</definedName>
    <definedName name="nyy.3.2">#REF!</definedName>
    <definedName name="nyy.4.16">#REF!</definedName>
    <definedName name="nyy11x1x500">#REF!</definedName>
    <definedName name="nyy14x1x500">#REF!</definedName>
    <definedName name="nyy16x1x500">#REF!</definedName>
    <definedName name="nyy18x1x500">#REF!</definedName>
    <definedName name="nyy21x1x500">#REF!</definedName>
    <definedName name="nyy2415070">#REF!</definedName>
    <definedName name="nyy25x1x500">#REF!</definedName>
    <definedName name="nyy2x4x16">#REF!</definedName>
    <definedName name="nyy32.5">#REF!</definedName>
    <definedName name="nyy3x6">#REF!</definedName>
    <definedName name="nyy42.5">#REF!</definedName>
    <definedName name="nyy42115070">#REF!</definedName>
    <definedName name="nyy4212470">#REF!</definedName>
    <definedName name="nyy4x10">#REF!</definedName>
    <definedName name="nyy4x120">#REF!</definedName>
    <definedName name="nyy4x16">#REF!</definedName>
    <definedName name="nyy4x185">#REF!</definedName>
    <definedName name="nyy4x1x300">#REF!</definedName>
    <definedName name="nyy4x1x400">#REF!</definedName>
    <definedName name="nyy4x1x500">#REF!</definedName>
    <definedName name="nyy4x25">#REF!</definedName>
    <definedName name="nyy4x50">#REF!</definedName>
    <definedName name="nyy4x70">#REF!</definedName>
    <definedName name="nyy4x95">#REF!</definedName>
    <definedName name="nyy5x4">#REF!</definedName>
    <definedName name="nyy5x6">#REF!</definedName>
    <definedName name="nyy7x1x300">#REF!</definedName>
    <definedName name="nyy7x1x500">#REF!</definedName>
    <definedName name="oa">#REF!</definedName>
    <definedName name="ok">#REF!</definedName>
    <definedName name="Oker">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P">#REF!</definedName>
    <definedName name="OPERATING_EQUIPMENT">#REF!</definedName>
    <definedName name="Operator">#REF!</definedName>
    <definedName name="OPERATOR_ALAT_BESAR">#REF!</definedName>
    <definedName name="ot">#REF!</definedName>
    <definedName name="OUT">#REF!</definedName>
    <definedName name="OWARI">#REF!</definedName>
    <definedName name="P">#REF!</definedName>
    <definedName name="p.meka">#REF!</definedName>
    <definedName name="p.petir">#REF!</definedName>
    <definedName name="P.Tyre.Roller">#REF!</definedName>
    <definedName name="p_d">#REF!</definedName>
    <definedName name="p_d1">#REF!</definedName>
    <definedName name="p1ti50">#REF!</definedName>
    <definedName name="p1ti60">#REF!</definedName>
    <definedName name="p1ti70">#REF!</definedName>
    <definedName name="p1ti80">#REF!</definedName>
    <definedName name="p1tif50">#REF!</definedName>
    <definedName name="p2ti50">#REF!</definedName>
    <definedName name="p2ti60">#REF!</definedName>
    <definedName name="p2ti70">#REF!</definedName>
    <definedName name="p2ti80">#REF!</definedName>
    <definedName name="p2tif50">#REF!</definedName>
    <definedName name="p3al50">#REF!</definedName>
    <definedName name="p3al60">#REF!</definedName>
    <definedName name="p3al70">#REF!</definedName>
    <definedName name="p3al80">#REF!</definedName>
    <definedName name="p3ati50">#REF!</definedName>
    <definedName name="p3ati60">#REF!</definedName>
    <definedName name="p3atif50">#REF!</definedName>
    <definedName name="p3atifr50">#REF!</definedName>
    <definedName name="p3atifr60">#REF!</definedName>
    <definedName name="p3ti50">#REF!</definedName>
    <definedName name="p3ti60">#REF!</definedName>
    <definedName name="p3ti70">#REF!</definedName>
    <definedName name="p3ti80">#REF!</definedName>
    <definedName name="p3tif50">#REF!</definedName>
    <definedName name="P5000000">#REF!</definedName>
    <definedName name="PA6A">#REF!</definedName>
    <definedName name="Paanstm">#REF!</definedName>
    <definedName name="pabf125">#REF!</definedName>
    <definedName name="pabf65">#REF!</definedName>
    <definedName name="pagar">#REF!</definedName>
    <definedName name="pagar_sementara">#REF!</definedName>
    <definedName name="PAIN">#REF!</definedName>
    <definedName name="PAKET">#REF!</definedName>
    <definedName name="paku1">#REF!</definedName>
    <definedName name="paku2">#REF!</definedName>
    <definedName name="Panil_Bengkirai">#REF!</definedName>
    <definedName name="Panil_Jati">#REF!</definedName>
    <definedName name="PanilBenkirai">#REF!</definedName>
    <definedName name="Paniljati">#REF!</definedName>
    <definedName name="Paras_btgosokkerobokan">#REF!</definedName>
    <definedName name="Paras_btgosokukir">#REF!</definedName>
    <definedName name="Paras_Kerobokan">#REF!</definedName>
    <definedName name="Paras_Palimanan">#REF!</definedName>
    <definedName name="Parasbtgogokukir">#REF!</definedName>
    <definedName name="Parasbtgosokkerobokan">#REF!</definedName>
    <definedName name="ParasKerobokan">#REF!</definedName>
    <definedName name="parasukir">#REF!</definedName>
    <definedName name="pas.batudnmortar">#REF!</definedName>
    <definedName name="Pas_Bataco">#REF!</definedName>
    <definedName name="Pas_bouw_pagr">#REF!</definedName>
    <definedName name="Pas_bouwp">#REF!</definedName>
    <definedName name="Pas_Bt_Kali">#REF!</definedName>
    <definedName name="Pas_Bt_Ksng">#REF!</definedName>
    <definedName name="Pas_Btpilah">#REF!</definedName>
    <definedName name="Pas_Bubungan">#REF!</definedName>
    <definedName name="Pas_Kembali_Btmerah">#REF!</definedName>
    <definedName name="Pas_kembali_kuda">#REF!</definedName>
    <definedName name="Pas_KembaliKusen">#REF!</definedName>
    <definedName name="Pas_Kembl_Usuk">#REF!</definedName>
    <definedName name="Pas_KemBongkarDJ">#REF!</definedName>
    <definedName name="Pas_Kmbali_Atp">#REF!</definedName>
    <definedName name="Pas_Kmbl_Btmerah">#REF!</definedName>
    <definedName name="Pas_Kmbli_Kuda">#REF!</definedName>
    <definedName name="Pas_Loster">#REF!</definedName>
    <definedName name="Pas_Paving">#REF!</definedName>
    <definedName name="Pas_Reng">#REF!</definedName>
    <definedName name="Pas_Usuk">#REF!</definedName>
    <definedName name="pasang.bt.adukan">#REF!</definedName>
    <definedName name="PASANG_KIPAS_ANGIN_CEILING">#REF!</definedName>
    <definedName name="PASANG_KIPAS_ANGIN_WALLSWING">#REF!</definedName>
    <definedName name="PASANG_LAMPU_RMI_2X18WATT">#REF!</definedName>
    <definedName name="PASANG_LAMPU_RMI_2X36WATT">#REF!</definedName>
    <definedName name="PASANG_LAMPU_SL_23WATT">#REF!</definedName>
    <definedName name="PASANG_LAMPU_SL_8WATT">#REF!</definedName>
    <definedName name="PASANG_OUTLET_TELEPON">#REF!</definedName>
    <definedName name="PASANG_OUTLET_TV">#REF!</definedName>
    <definedName name="PASANG_SAKLAR_GANDA">#REF!</definedName>
    <definedName name="PASANG_SAKLAR_TUNGGAL">#REF!</definedName>
    <definedName name="PASANG_STOP_KONTAK">#REF!</definedName>
    <definedName name="PASANG_STOP_KONTAK_AC">#REF!</definedName>
    <definedName name="pasasbes">#REF!</definedName>
    <definedName name="pasatapgenteng">#REF!</definedName>
    <definedName name="pasbata">[16]analis!$J$88</definedName>
    <definedName name="pasbata12">#REF!</definedName>
    <definedName name="pasbata15">#REF!</definedName>
    <definedName name="PASBATAK_1">#REF!</definedName>
    <definedName name="PASBATAK_2">#REF!</definedName>
    <definedName name="pasbatako">#REF!</definedName>
    <definedName name="PASBATMOR_1">#REF!</definedName>
    <definedName name="PASBATMOR_2">#REF!</definedName>
    <definedName name="pasbatukali">#REF!</definedName>
    <definedName name="pasbatukosong">#REF!</definedName>
    <definedName name="pasbnglayursl">#REF!</definedName>
    <definedName name="pasbouplank">#REF!</definedName>
    <definedName name="pasbouvenligh">#REF!</definedName>
    <definedName name="pasbt12">#REF!</definedName>
    <definedName name="PasBtGunung15">#REF!</definedName>
    <definedName name="PasBtKl">#REF!</definedName>
    <definedName name="pasbtpilah">#REF!</definedName>
    <definedName name="pasbttuk">#REF!</definedName>
    <definedName name="pasbubungan">#REF!</definedName>
    <definedName name="pasbubungankodok">#REF!</definedName>
    <definedName name="PasDrainPVC3">#REF!</definedName>
    <definedName name="pasgenteng">[11]analis!$J$315</definedName>
    <definedName name="pasgentengkodok">#REF!</definedName>
    <definedName name="pasgranit">#REF!</definedName>
    <definedName name="paskarangasti">#REF!</definedName>
    <definedName name="PasKaretPacking">#REF!</definedName>
    <definedName name="paskaretwaterstop">#REF!</definedName>
    <definedName name="Paskembali_Atpgenteng">#REF!</definedName>
    <definedName name="PasKembaliKusen">#REF!</definedName>
    <definedName name="PasKemBongkarDJ">#REF!</definedName>
    <definedName name="paskeramik20">#REF!</definedName>
    <definedName name="paskeramik25">#REF!</definedName>
    <definedName name="paskeramik30">#REF!</definedName>
    <definedName name="paskeramik3030">[11]analis!$J$242</definedName>
    <definedName name="paskodoknglayur">#REF!</definedName>
    <definedName name="paslistgypsum">#REF!</definedName>
    <definedName name="paslistkayu">#REF!</definedName>
    <definedName name="pasloster">#REF!</definedName>
    <definedName name="pasparaskerobokan">#REF!</definedName>
    <definedName name="paspaving">#REF!</definedName>
    <definedName name="paspaving2020">#REF!</definedName>
    <definedName name="paspepalihan">#REF!</definedName>
    <definedName name="paspintubesi">#REF!</definedName>
    <definedName name="paspipa15">#REF!</definedName>
    <definedName name="paspipa25">#REF!</definedName>
    <definedName name="paspipa34">#REF!</definedName>
    <definedName name="paspipa4">#REF!</definedName>
    <definedName name="pasplapond">[10]analis!$J$254</definedName>
    <definedName name="pasplint">#REF!</definedName>
    <definedName name="pasusukdanreng">#REF!</definedName>
    <definedName name="patokpengarah">#REF!</definedName>
    <definedName name="Paving_10x20_6_K225">#REF!</definedName>
    <definedName name="Paving_10x20_6_K350">#REF!</definedName>
    <definedName name="Paving_10x20_8_K225">#REF!</definedName>
    <definedName name="Paving_10x20_8_K350">#REF!</definedName>
    <definedName name="Paving_20x20_6_K225">#REF!</definedName>
    <definedName name="Paving_20x20_6_K350">#REF!</definedName>
    <definedName name="Paving_20x20_8_K225">#REF!</definedName>
    <definedName name="paving_block_8cm">#REF!</definedName>
    <definedName name="PAVING_BLOK_20x20_T6CM_K175">#REF!</definedName>
    <definedName name="PAVING_BLOK_20x20_T6CM_K225">#REF!</definedName>
    <definedName name="PAVING_BLOK_20x20_T8CM_K175">#REF!</definedName>
    <definedName name="Paving_tebal_8_cm">#REF!</definedName>
    <definedName name="Paving6cm">#REF!</definedName>
    <definedName name="Paving8">#REF!</definedName>
    <definedName name="pavingblock">#REF!</definedName>
    <definedName name="pb_2">#REF!</definedName>
    <definedName name="pb_3">#REF!</definedName>
    <definedName name="PBetFun">#REF!</definedName>
    <definedName name="PBetPl">#REF!</definedName>
    <definedName name="PBetPr">#REF!</definedName>
    <definedName name="PBetStr">#REF!</definedName>
    <definedName name="pbf2.5">#REF!</definedName>
    <definedName name="pbondek">#REF!</definedName>
    <definedName name="PBouwp">#REF!</definedName>
    <definedName name="pbsf100">#REF!</definedName>
    <definedName name="pbsf150">#REF!</definedName>
    <definedName name="pbsf65">#REF!</definedName>
    <definedName name="pbsf80">#REF!</definedName>
    <definedName name="PBSiku">#REF!</definedName>
    <definedName name="PBTempel">#REF!</definedName>
    <definedName name="pbtk14">#REF!</definedName>
    <definedName name="pbtki14">#REF!</definedName>
    <definedName name="PBtKl14">#REF!</definedName>
    <definedName name="PBtKl15">#REF!</definedName>
    <definedName name="PBtM2">#REF!</definedName>
    <definedName name="PBtM2K">#REF!</definedName>
    <definedName name="PBtM3">#REF!</definedName>
    <definedName name="PBtM3K">#REF!</definedName>
    <definedName name="PBtM4">#REF!</definedName>
    <definedName name="PBtM4K">#REF!</definedName>
    <definedName name="PBtX4">#REF!</definedName>
    <definedName name="pc">[19]Bahan!$F$23</definedName>
    <definedName name="PC_1">#REF!</definedName>
    <definedName name="PC_2">#REF!</definedName>
    <definedName name="PC450U">#REF!</definedName>
    <definedName name="PC600B">#REF!</definedName>
    <definedName name="PC600U">#REF!</definedName>
    <definedName name="PCatIC">#REF!</definedName>
    <definedName name="PCatKy">#REF!</definedName>
    <definedName name="PCatVn">#REF!</definedName>
    <definedName name="PCcurb">#REF!</definedName>
    <definedName name="pcf2.5">#REF!</definedName>
    <definedName name="PEK">#REF!</definedName>
    <definedName name="Pek_Acian">#REF!</definedName>
    <definedName name="Pek_Begesting">#REF!</definedName>
    <definedName name="Pek_Besibtn">#REF!</definedName>
    <definedName name="Pekbegesting">#REF!</definedName>
    <definedName name="PEKBESIALUM">#REF!</definedName>
    <definedName name="PekBesibeton">#REF!</definedName>
    <definedName name="pekbordes">#REF!</definedName>
    <definedName name="PEKCAT">#REF!</definedName>
    <definedName name="pekcatmeni">#REF!</definedName>
    <definedName name="pekcolter">#REF!</definedName>
    <definedName name="pekdaunpintupanil">#REF!</definedName>
    <definedName name="pekerja">[19]Bahan!$F$105</definedName>
    <definedName name="PEKERJA_SETENGAH_TERAMPIL">#REF!</definedName>
    <definedName name="PEKERJA_TERAMPIL">#REF!</definedName>
    <definedName name="PEKERJAAN__A_C">#REF!</definedName>
    <definedName name="PEKERJAAN_CAT">#REF!</definedName>
    <definedName name="PEKERJAAN_CCTV__SOUND_SYSTEM____MATV">#REF!</definedName>
    <definedName name="PEKERJAAN_DINDING_DAN_FINISHING_DINDING">#REF!</definedName>
    <definedName name="PEKERJAAN_FINISHING_LANTAI">#REF!</definedName>
    <definedName name="PEKERJAAN_GONDOLA">#REF!</definedName>
    <definedName name="PEKERJAAN_LIFT_ex_KOREA">#REF!</definedName>
    <definedName name="PEKERJAAN_LISTRIK___GENSET">#REF!</definedName>
    <definedName name="PEKERJAAN_LUAR">#REF!</definedName>
    <definedName name="PEKERJAAN_PLAFOND">#REF!</definedName>
    <definedName name="PEKERJAAN_PLUMBING___SANITARY">#REF!</definedName>
    <definedName name="PEKERJAAN_PONDASI">#REF!</definedName>
    <definedName name="PEKERJAAN_RAILING_DAN_LAIN___LAIN">#REF!</definedName>
    <definedName name="PEKERJAAN_SPRINKLER___FIRE_FIGHTING">#REF!</definedName>
    <definedName name="PEKERJAAN_STRUKTUR_ATAS_DAN_ATAP">#REF!</definedName>
    <definedName name="PEKERJAAN_SUB_STRUKTUR">#REF!</definedName>
    <definedName name="PEKERJAAN_TANAH">#REF!</definedName>
    <definedName name="PEKERJAAN_TELEPON">#REF!</definedName>
    <definedName name="pekjendelakaca">#REF!</definedName>
    <definedName name="pekkap">[11]analis!$J$296</definedName>
    <definedName name="PEKKUNCIKACA">#REF!</definedName>
    <definedName name="pekkusen">#REF!</definedName>
    <definedName name="PEKLANGIT2">#REF!</definedName>
    <definedName name="PekPBronjong">#REF!</definedName>
    <definedName name="pekpolituran">#REF!</definedName>
    <definedName name="PELAT">#REF!</definedName>
    <definedName name="pelinggih11">#REF!</definedName>
    <definedName name="PEMADATAN_TANAH">#REF!</definedName>
    <definedName name="pemadatan_tanah20cm">#REF!</definedName>
    <definedName name="PEMBANTU_OPERATOR___MEKANIK">#REF!</definedName>
    <definedName name="Pember_Awal">#REF!</definedName>
    <definedName name="pembersihan_perataan">#REF!</definedName>
    <definedName name="Penangkal_petir">#REF!</definedName>
    <definedName name="PENGARAH_1">#REF!</definedName>
    <definedName name="PENGARAH_2">#REF!</definedName>
    <definedName name="PengeringanDgnPompa">#REF!</definedName>
    <definedName name="PengeringanPompa">#REF!</definedName>
    <definedName name="pengresek">#REF!</definedName>
    <definedName name="PENGUKURAN_BOUWPLANK">#REF!</definedName>
    <definedName name="PENJAGA_MALAM">#REF!</definedName>
    <definedName name="penyengker">#REF!</definedName>
    <definedName name="PersenAspal">#REF!</definedName>
    <definedName name="PersenBatu">#REF!</definedName>
    <definedName name="PersenKayu">#REF!</definedName>
    <definedName name="PersenPasir">#REF!</definedName>
    <definedName name="PersenSemen">#REF!</definedName>
    <definedName name="PF_S">#REF!</definedName>
    <definedName name="pgc">#REF!</definedName>
    <definedName name="Philip" hidden="1">{#N/A,#N/A,FALSE,"REK-S-TPL";#N/A,#N/A,FALSE,"REK-TPML";#N/A,#N/A,FALSE,"RAB-TEMPEL"}</definedName>
    <definedName name="pijar">#REF!</definedName>
    <definedName name="PIL">#REF!</definedName>
    <definedName name="PINTU_A">#REF!</definedName>
    <definedName name="PINTU_B">#REF!</definedName>
    <definedName name="PINTU_BASE">#REF!</definedName>
    <definedName name="PINTU_C">#REF!</definedName>
    <definedName name="Pintu_panel_kaca">#REF!</definedName>
    <definedName name="Pintu_panel_kampe">#REF!</definedName>
    <definedName name="Pintu_panel_KulitJeruk">#REF!</definedName>
    <definedName name="Pintu_teakwood_4mm">#REF!</definedName>
    <definedName name="Pintu_teakwood_rangkap">#REF!</definedName>
    <definedName name="pintupanil">[11]analis!$J$339</definedName>
    <definedName name="pintuteak">[11]analis!$J$358</definedName>
    <definedName name="PIP">#REF!</definedName>
    <definedName name="pipa">#REF!</definedName>
    <definedName name="Pipa_1_AW">#REF!</definedName>
    <definedName name="Pipa_2_AW">#REF!</definedName>
    <definedName name="Pipa_4_AW">#REF!</definedName>
    <definedName name="PIPA_GALVANIS_0.5">#REF!</definedName>
    <definedName name="PIPA_GALVANIS_0.75">#REF!</definedName>
    <definedName name="PIPA_GALVANIS_1.25">#REF!</definedName>
    <definedName name="PIPA_GALVANIS_1.5">#REF!</definedName>
    <definedName name="PIPA_GALVANIS_2">#REF!</definedName>
    <definedName name="PIPA_PVC_0.5">#REF!</definedName>
    <definedName name="PIPA_PVC_0.75">#REF!</definedName>
    <definedName name="PIPA_PVC_1">#REF!</definedName>
    <definedName name="PIPA_PVC_1.5">#REF!</definedName>
    <definedName name="PIPA_PVC_2">#REF!</definedName>
    <definedName name="PIPA_PVC_2.5">#REF!</definedName>
    <definedName name="PIPA_PVC_3">#REF!</definedName>
    <definedName name="PIPA_PVC_4">#REF!</definedName>
    <definedName name="PIPA125">#REF!</definedName>
    <definedName name="PIPA150">#REF!</definedName>
    <definedName name="pipa2">#REF!</definedName>
    <definedName name="PIPA20">#REF!</definedName>
    <definedName name="PIPA200">#REF!</definedName>
    <definedName name="PIPA25">#REF!</definedName>
    <definedName name="PIPA300">#REF!</definedName>
    <definedName name="PIPA32">#REF!</definedName>
    <definedName name="PIPA40">#REF!</definedName>
    <definedName name="PIPA50">#REF!</definedName>
    <definedName name="PIPA65">#REF!</definedName>
    <definedName name="PIPA80">#REF!</definedName>
    <definedName name="pipabs2">#REF!</definedName>
    <definedName name="pipapvc">#REF!</definedName>
    <definedName name="piparel25">#REF!</definedName>
    <definedName name="PIPE">#REF!</definedName>
    <definedName name="PISAN3_">#REF!</definedName>
    <definedName name="PIUTANGHOTMIX">#REF!</definedName>
    <definedName name="pj1sengkang">#REF!</definedName>
    <definedName name="PK">#REF!</definedName>
    <definedName name="PKD12p">#REF!</definedName>
    <definedName name="PKD12w">#REF!</definedName>
    <definedName name="Plafnd_Calsibord">#REF!</definedName>
    <definedName name="Plafnd_Eternit">#REF!</definedName>
    <definedName name="Plafnd_Eternit100">#REF!</definedName>
    <definedName name="Plafnd_Eternit50">#REF!</definedName>
    <definedName name="Plafnd_Gedeg">#REF!</definedName>
    <definedName name="Plafnd_GedegEkspos">#REF!</definedName>
    <definedName name="Plafnd_Trip">#REF!</definedName>
    <definedName name="Plafnd_TripEkspos">#REF!</definedName>
    <definedName name="Plafond_calsiboard">#REF!</definedName>
    <definedName name="PlafondCalsibord">#REF!</definedName>
    <definedName name="Plafondeternit">#REF!</definedName>
    <definedName name="Plafondgedeg">#REF!</definedName>
    <definedName name="Plafondtripekspose">#REF!</definedName>
    <definedName name="Plafondtriplek">#REF!</definedName>
    <definedName name="PlafPly">#REF!</definedName>
    <definedName name="plantshurb">#REF!</definedName>
    <definedName name="planttree">#REF!</definedName>
    <definedName name="Plap">#REF!</definedName>
    <definedName name="plapondeternit">[11]analis!$J$279</definedName>
    <definedName name="plapondgypsum">#REF!</definedName>
    <definedName name="plapondkalsi">#REF!</definedName>
    <definedName name="plapondplaywood">#REF!</definedName>
    <definedName name="PLas">#REF!</definedName>
    <definedName name="PLAT_LANTAI_110KG">#REF!</definedName>
    <definedName name="PLAT_LANTAI_120KG">#REF!</definedName>
    <definedName name="PLAT_LANTAI_130KG">#REF!</definedName>
    <definedName name="PLAT_LANTAI_140KG">#REF!</definedName>
    <definedName name="PLAT_LANTAI_150KG">#REF!</definedName>
    <definedName name="PLAT_LANTAI_160KG">#REF!</definedName>
    <definedName name="PLAT_LANTAI_170KG">#REF!</definedName>
    <definedName name="PLAT_LANTAI_180KG">#REF!</definedName>
    <definedName name="PLAT_LANTAI_190KG">#REF!</definedName>
    <definedName name="PLAT_LANTAI_200KG">#REF!</definedName>
    <definedName name="PLAT_TANGGA_100KG">#REF!</definedName>
    <definedName name="PLAT_TANGGA_110KG">#REF!</definedName>
    <definedName name="PLAT_TANGGA_120KG">#REF!</definedName>
    <definedName name="PLAT_TANGGA_130KG">#REF!</definedName>
    <definedName name="PLAT_TANGGA_140KG">#REF!</definedName>
    <definedName name="PLAT_TANGGA_150KG">#REF!</definedName>
    <definedName name="PLAT_TANGGA_160KG">#REF!</definedName>
    <definedName name="PLAT_TANGGA_170KG">#REF!</definedName>
    <definedName name="PLAT_TANGGA_180KG">#REF!</definedName>
    <definedName name="PLAT_TANGGA_190KG">#REF!</definedName>
    <definedName name="PLAT_TANGGA_200KG">#REF!</definedName>
    <definedName name="platlantai">#REF!</definedName>
    <definedName name="plattangga">#REF!</definedName>
    <definedName name="Ples_13">#REF!</definedName>
    <definedName name="Ples_16">#REF!</definedName>
    <definedName name="Ples_Pepalihan">#REF!</definedName>
    <definedName name="ples13">#REF!</definedName>
    <definedName name="plest16">#REF!</definedName>
    <definedName name="PLESTER_1_2">#REF!</definedName>
    <definedName name="plesteran_1_1">#REF!</definedName>
    <definedName name="plesteran_1_2">#REF!</definedName>
    <definedName name="plesteran_1_4">#REF!</definedName>
    <definedName name="plesteran_1_5">#REF!</definedName>
    <definedName name="plesteran_1_8">#REF!</definedName>
    <definedName name="plesteran12">[10]analis!$J$56</definedName>
    <definedName name="plesteran13">#REF!</definedName>
    <definedName name="Plesteran15">#REF!</definedName>
    <definedName name="PlesteranSiaran12">#REF!</definedName>
    <definedName name="plestrpepalihan">#REF!</definedName>
    <definedName name="pleteran15">[11]analis!$J$75</definedName>
    <definedName name="Plfondgedegekspose">#REF!</definedName>
    <definedName name="Plin_keramik_10x40">#REF!</definedName>
    <definedName name="Plint_Kramik">#REF!</definedName>
    <definedName name="Plintkeramik">#REF!</definedName>
    <definedName name="PLP">#REF!</definedName>
    <definedName name="plum">#REF!</definedName>
    <definedName name="Pol_itur">#REF!</definedName>
    <definedName name="poli">#REF!</definedName>
    <definedName name="Politur">#REF!</definedName>
    <definedName name="Politur_MejaKursi">#REF!</definedName>
    <definedName name="PoliturMejaKursi">#REF!</definedName>
    <definedName name="poly">#REF!</definedName>
    <definedName name="PONDASI_110KG">#REF!</definedName>
    <definedName name="PONDASI_120KG">#REF!</definedName>
    <definedName name="PONDASI_130KG">#REF!</definedName>
    <definedName name="PONDASI_140KG">#REF!</definedName>
    <definedName name="PONDASI_150KG">#REF!</definedName>
    <definedName name="PONDASI_160KG">#REF!</definedName>
    <definedName name="PONDASI_170KG">#REF!</definedName>
    <definedName name="PONDASI_180KG">#REF!</definedName>
    <definedName name="PONDASI_190KG">#REF!</definedName>
    <definedName name="PONDASI_200KG">#REF!</definedName>
    <definedName name="pondasi_batukali_1_3">#REF!</definedName>
    <definedName name="pondasi_batukali_1_4">#REF!</definedName>
    <definedName name="pondasi_batukali_1_8">#REF!</definedName>
    <definedName name="pondasi_siklop_40">#REF!</definedName>
    <definedName name="pondasi_sumuran_1m">#REF!</definedName>
    <definedName name="PondasiFe270">#REF!</definedName>
    <definedName name="PondasiFe280">#REF!</definedName>
    <definedName name="PondasiFe300">#REF!</definedName>
    <definedName name="pph">#REF!</definedName>
    <definedName name="ppn">#REF!</definedName>
    <definedName name="PRECAST_A">#REF!</definedName>
    <definedName name="PRECAST_B">#REF!</definedName>
    <definedName name="PRECAST_C">#REF!</definedName>
    <definedName name="primecoat">#REF!</definedName>
    <definedName name="_xlnm.Print_Area" localSheetId="4">Bahan!$B$2:$F$337</definedName>
    <definedName name="_xlnm.Print_Area" localSheetId="5">Upah!$B$2:$G$59</definedName>
    <definedName name="_xlnm.Print_Area">#REF!</definedName>
    <definedName name="PRINT_AREA_MI">#REF!</definedName>
    <definedName name="Print_Area_MI_13_6">#REF!</definedName>
    <definedName name="Print_Area_MI_14">#REF!</definedName>
    <definedName name="Print_Area_MI_14_6">#REF!</definedName>
    <definedName name="Print_Area_MI_15">#REF!</definedName>
    <definedName name="Print_Area_MI_15_6">#REF!</definedName>
    <definedName name="Print_Area_MI_2">#REF!</definedName>
    <definedName name="Print_Area_MI_3">#REF!</definedName>
    <definedName name="Print_Area_MI_3_6">#REF!</definedName>
    <definedName name="Print_Area_MI_4">#REF!</definedName>
    <definedName name="Print_Area_MI_5">#REF!</definedName>
    <definedName name="Print_Area_MI_6">#REF!</definedName>
    <definedName name="Print_Area_MI_6_1">#REF!</definedName>
    <definedName name="Print_Area_MI_6_6">#REF!</definedName>
    <definedName name="Print_Area_MI_7">#REF!</definedName>
    <definedName name="Print_Area_MI_7_6">#REF!</definedName>
    <definedName name="Print_Area_MI_8">#REF!</definedName>
    <definedName name="Print_Area_MI_8_6">#REF!</definedName>
    <definedName name="Print_Area_MI_9">#REF!</definedName>
    <definedName name="Print_Area_MI_9_6">#REF!</definedName>
    <definedName name="PRINT_TILTES">#REF!</definedName>
    <definedName name="PRINT_TITILES">#REF!</definedName>
    <definedName name="PRINT_TITLE">#REF!</definedName>
    <definedName name="_xlnm.Print_Titles" localSheetId="4">Bahan!$5:$6</definedName>
    <definedName name="_xlnm.Print_Titles">#N/A</definedName>
    <definedName name="PRINT_TITLES_MI">#N/A</definedName>
    <definedName name="Print_Titles_MI_13">#REF!</definedName>
    <definedName name="Print_Titles_MI_14">#REF!</definedName>
    <definedName name="Print_Titles_MI_15">#REF!</definedName>
    <definedName name="Print_Titles_MI_3">#REF!</definedName>
    <definedName name="Print_Titles_MI_6">#REF!</definedName>
    <definedName name="Print_Titles_MI_6_6">#REF!</definedName>
    <definedName name="Print_Titles_MI_7">#REF!</definedName>
    <definedName name="Print_Titles_MI_7_6">#REF!</definedName>
    <definedName name="Print_Titles_MI_9">#REF!</definedName>
    <definedName name="PRITN_TITLES">#REF!</definedName>
    <definedName name="PRO">#REF!</definedName>
    <definedName name="prod.atb">#REF!</definedName>
    <definedName name="prod.atbl">#REF!</definedName>
    <definedName name="prod.laston">#REF!</definedName>
    <definedName name="Prof">#REF!</definedName>
    <definedName name="Prof_6">#REF!</definedName>
    <definedName name="prs">#REF!</definedName>
    <definedName name="Ps.Urug">#REF!</definedName>
    <definedName name="PUMP">#REF!</definedName>
    <definedName name="PUP">#REF!</definedName>
    <definedName name="PUPS">#REF!</definedName>
    <definedName name="PUPSL1">#REF!</definedName>
    <definedName name="PUPSL2">#REF!</definedName>
    <definedName name="PUPSL3">#REF!</definedName>
    <definedName name="pura">#REF!</definedName>
    <definedName name="PWFLn">#REF!</definedName>
    <definedName name="qq">[7]analis!$J$76</definedName>
    <definedName name="R_">#REF!</definedName>
    <definedName name="rabat">[11]analis!$J$103</definedName>
    <definedName name="rabmes">#REF!</definedName>
    <definedName name="rabtaman">#REF!</definedName>
    <definedName name="Ram_Lisplank">#REF!</definedName>
    <definedName name="RAMBU_1">#REF!</definedName>
    <definedName name="RAMBU_2">#REF!</definedName>
    <definedName name="rambujalan">#REF!</definedName>
    <definedName name="Ramlisplank">#REF!</definedName>
    <definedName name="RangkaPlf105">#REF!</definedName>
    <definedName name="RangkaPlf105Mranti">#REF!</definedName>
    <definedName name="RangkaPlf11">#REF!</definedName>
    <definedName name="RangkaPlf3030">#REF!</definedName>
    <definedName name="RangkaPlf3060">#REF!</definedName>
    <definedName name="RangkPlf25Bks">#REF!</definedName>
    <definedName name="RangkPlf25BksMranti">#REF!</definedName>
    <definedName name="RangkPlf50Bks">#REF!</definedName>
    <definedName name="RangkPlf50BksMranti">#REF!</definedName>
    <definedName name="RangkPlf70BksKruing">#REF!</definedName>
    <definedName name="RangkPlf70BksMeranti">#REF!</definedName>
    <definedName name="RangkPlf70BksMranti">#REF!</definedName>
    <definedName name="RAP">#REF!</definedName>
    <definedName name="RATE">#REF!</definedName>
    <definedName name="RDU">#REF!</definedName>
    <definedName name="REAL">#REF!</definedName>
    <definedName name="REC">#REF!</definedName>
    <definedName name="RECAP">#REF!</definedName>
    <definedName name="RECAP1">#REF!</definedName>
    <definedName name="REINB">#REF!</definedName>
    <definedName name="REK_AN">#REF!</definedName>
    <definedName name="REKAN">#REF!</definedName>
    <definedName name="Rekan1">#REF!</definedName>
    <definedName name="Rekan2">#REF!</definedName>
    <definedName name="Rekan3">#REF!</definedName>
    <definedName name="Rekan4">#REF!</definedName>
    <definedName name="Rekan5">#REF!</definedName>
    <definedName name="RekanK">#REF!</definedName>
    <definedName name="REKAP">#REF!</definedName>
    <definedName name="REKAP_1">#REF!</definedName>
    <definedName name="REKAP_2">#REF!</definedName>
    <definedName name="REKAP_3">#REF!</definedName>
    <definedName name="REKAP_4">#REF!</definedName>
    <definedName name="rekap_ars">#REF!</definedName>
    <definedName name="Rekap_Arsitektur">#REF!</definedName>
    <definedName name="Rekap_K">#REF!</definedName>
    <definedName name="REKAPITULASI">#REF!</definedName>
    <definedName name="REKAPRAB">#REF!</definedName>
    <definedName name="Reng">#REF!</definedName>
    <definedName name="restoran">#REF!</definedName>
    <definedName name="RESULT">#REF!</definedName>
    <definedName name="RFSL">#REF!</definedName>
    <definedName name="riben.5">#REF!</definedName>
    <definedName name="RIBU">#REF!</definedName>
    <definedName name="ring1525">[10]analis!$J$193</definedName>
    <definedName name="ringbalok">#REF!</definedName>
    <definedName name="ringbalok1530">#REF!</definedName>
    <definedName name="ringbalok2030">#REF!</definedName>
    <definedName name="ringbalok2540">#REF!</definedName>
    <definedName name="ringbalokpraktis">#REF!</definedName>
    <definedName name="RINSU">#REF!</definedName>
    <definedName name="RLABO">#REF!</definedName>
    <definedName name="RMISC">#REF!</definedName>
    <definedName name="Rocktile_30">#REF!</definedName>
    <definedName name="Rocktile30">#REF!</definedName>
    <definedName name="ROLLINGDOOR_ALUMINIUM">#REF!</definedName>
    <definedName name="ROUND">#REF!</definedName>
    <definedName name="ROUNDL">#REF!</definedName>
    <definedName name="ROUNDM">#REF!</definedName>
    <definedName name="RPAIN">#REF!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EST">#REF!</definedName>
    <definedName name="Rucika_Wavin">#REF!</definedName>
    <definedName name="RUTIN">#REF!</definedName>
    <definedName name="S">#REF!</definedName>
    <definedName name="S.21">#REF!</definedName>
    <definedName name="S.23">#REF!</definedName>
    <definedName name="S.24">#REF!</definedName>
    <definedName name="S.25">#REF!</definedName>
    <definedName name="S.26">#REF!</definedName>
    <definedName name="S.BARU">#REF!</definedName>
    <definedName name="S.LAMA.A">#REF!</definedName>
    <definedName name="S.LAMA.B">#REF!</definedName>
    <definedName name="S.LAMA.C">#REF!</definedName>
    <definedName name="SA.1">#REF!</definedName>
    <definedName name="SA.10">#REF!</definedName>
    <definedName name="SA.11">#REF!</definedName>
    <definedName name="SA.12">#REF!</definedName>
    <definedName name="SA.13">#REF!</definedName>
    <definedName name="SA.14">#REF!</definedName>
    <definedName name="SA.2">#REF!</definedName>
    <definedName name="SA.3">#REF!</definedName>
    <definedName name="SA.4">#REF!</definedName>
    <definedName name="SA.5">#REF!</definedName>
    <definedName name="SA.6">#REF!</definedName>
    <definedName name="SA.7">#REF!</definedName>
    <definedName name="SA.8">#REF!</definedName>
    <definedName name="SA.9">#REF!</definedName>
    <definedName name="SAH">#REF!</definedName>
    <definedName name="Satuan">#N/A</definedName>
    <definedName name="SatuanAlatB">#N/A</definedName>
    <definedName name="sayan">#REF!</definedName>
    <definedName name="SB.1">#REF!</definedName>
    <definedName name="SB.2">#REF!</definedName>
    <definedName name="SB.3">#REF!</definedName>
    <definedName name="SB.4">#REF!</definedName>
    <definedName name="SB.5">#REF!</definedName>
    <definedName name="SC.1">#REF!</definedName>
    <definedName name="scedu">#REF!</definedName>
    <definedName name="Schedule">#REF!</definedName>
    <definedName name="SCREED10">#REF!</definedName>
    <definedName name="SCREED5">#REF!</definedName>
    <definedName name="sda" hidden="1">#REF!</definedName>
    <definedName name="sekgnd">#REF!</definedName>
    <definedName name="sektgl">#REF!</definedName>
    <definedName name="Semen">#REF!</definedName>
    <definedName name="SEMUA">#REF!</definedName>
    <definedName name="SEPTICKTANK_PERESAPAN">[17]ANALISA!$I$1206</definedName>
    <definedName name="SFL">#REF!</definedName>
    <definedName name="sfvd100">#REF!</definedName>
    <definedName name="sg">#REF!</definedName>
    <definedName name="SGDGSE">#REF!</definedName>
    <definedName name="SHF">#REF!</definedName>
    <definedName name="SHOWER">#REF!</definedName>
    <definedName name="Siar12">#REF!</definedName>
    <definedName name="siaran">#REF!</definedName>
    <definedName name="Siaran_12">#REF!</definedName>
    <definedName name="siaran12">#REF!</definedName>
    <definedName name="SIRTU">[6]Quary!$A$462:$H$571</definedName>
    <definedName name="SITE">#REF!</definedName>
    <definedName name="sjahdsmsal">[16]analis!$J$70</definedName>
    <definedName name="skl">#REF!</definedName>
    <definedName name="sklrgnd">#REF!</definedName>
    <definedName name="sklrtgl">#REF!</definedName>
    <definedName name="sky">#REF!</definedName>
    <definedName name="slabfw_6">#REF!</definedName>
    <definedName name="SLEE">#REF!</definedName>
    <definedName name="SLH">#REF!</definedName>
    <definedName name="SLOEF_110KG">#REF!</definedName>
    <definedName name="SLOEF_130KG">#REF!</definedName>
    <definedName name="SLOEF_140KG">#REF!</definedName>
    <definedName name="SLOEF_150KG">#REF!</definedName>
    <definedName name="SLOEF_160KG">#REF!</definedName>
    <definedName name="SLOEF_170KG">#REF!</definedName>
    <definedName name="SLOEF_180KG">#REF!</definedName>
    <definedName name="SLOEF_190KG">#REF!</definedName>
    <definedName name="SLOEF_200KG">#REF!</definedName>
    <definedName name="sloof1520">#REF!</definedName>
    <definedName name="sloof2030">#REF!</definedName>
    <definedName name="sloof2540">#REF!</definedName>
    <definedName name="sloofpraktis">#REF!</definedName>
    <definedName name="sloop12030">[11]analis!$J$152</definedName>
    <definedName name="Socket_pvc_ø_2__maspion_D">#REF!</definedName>
    <definedName name="Socket_pvc_ø_4__maspion_D">#REF!</definedName>
    <definedName name="SOH">#REF!</definedName>
    <definedName name="solar">#REF!</definedName>
    <definedName name="Sp.38">#REF!</definedName>
    <definedName name="Sp.39">#REF!</definedName>
    <definedName name="Sp.39a">#REF!</definedName>
    <definedName name="Sp.39b">#REF!</definedName>
    <definedName name="Sp.41">#REF!</definedName>
    <definedName name="Sp.42">#REF!</definedName>
    <definedName name="Sp.43">#REF!</definedName>
    <definedName name="Sp.vd2">#REF!</definedName>
    <definedName name="Sp.vd3">#REF!</definedName>
    <definedName name="Sp.vd4">#REF!</definedName>
    <definedName name="Sp.vd5">#REF!</definedName>
    <definedName name="Sp.vd6">#REF!</definedName>
    <definedName name="Sp.vd7">#REF!</definedName>
    <definedName name="Sp.ve7">#REF!</definedName>
    <definedName name="Sp.ve8">#REF!</definedName>
    <definedName name="Sp.vg6">#REF!</definedName>
    <definedName name="SPEMBA">#REF!</definedName>
    <definedName name="SPENING">#REF!</definedName>
    <definedName name="spk">#REF!</definedName>
    <definedName name="spp" hidden="1">#REF!</definedName>
    <definedName name="SREHAB">#REF!</definedName>
    <definedName name="ss">[7]analis!$J$19</definedName>
    <definedName name="SSE">#REF!</definedName>
    <definedName name="ssss">#REF!</definedName>
    <definedName name="st">#REF!</definedName>
    <definedName name="Stonework">#REF!</definedName>
    <definedName name="stoot">#REF!</definedName>
    <definedName name="stootW">#REF!</definedName>
    <definedName name="STOP">#REF!</definedName>
    <definedName name="stop.ac">#REF!</definedName>
    <definedName name="stop.k">#REF!</definedName>
    <definedName name="Stop_kontak_sekualitas_broco">#REF!</definedName>
    <definedName name="Stop_kran_biasa">#REF!</definedName>
    <definedName name="Stop_kran_wasfhtafel">#REF!</definedName>
    <definedName name="STOP2">#REF!</definedName>
    <definedName name="STOP2E">#REF!</definedName>
    <definedName name="STOPE">#REF!</definedName>
    <definedName name="STR">#REF!</definedName>
    <definedName name="stressingdia405">#REF!</definedName>
    <definedName name="striping">#REF!</definedName>
    <definedName name="STRUKTUR">#REF!</definedName>
    <definedName name="SUBT">#REF!</definedName>
    <definedName name="SUM2A">#REF!</definedName>
    <definedName name="SUMI">#REF!</definedName>
    <definedName name="Sumur__peresapan_air_kotor_dan_kotoran">#REF!</definedName>
    <definedName name="SUP">#REF!</definedName>
    <definedName name="super">#REF!</definedName>
    <definedName name="SUPFS">#REF!</definedName>
    <definedName name="SUPIR_TRUK">#REF!</definedName>
    <definedName name="Supl.I">'[18]Anl.+'!$A$1:$M$160</definedName>
    <definedName name="Supl.II">'[18]Anl.+'!$A$81:$M$160</definedName>
    <definedName name="Supl.III">'[18]Anl.+'!$A$161:$M$240</definedName>
    <definedName name="Supl.IV">'[18]Anl.+'!$A$241:$M$320</definedName>
    <definedName name="SUPL.IX">#REF!</definedName>
    <definedName name="Supl.IXa">#REF!</definedName>
    <definedName name="SUPL.IXb">#REF!</definedName>
    <definedName name="Supl.V">'[18]Anl.+'!$A$321:$M$400</definedName>
    <definedName name="Supl.VI">'[18]Anl.+'!$A$643:$M$722</definedName>
    <definedName name="Supl.VII">'[18]Anl.+'!$A$401:$M$480</definedName>
    <definedName name="SUPL.X">#REF!</definedName>
    <definedName name="SUPL.XI">#REF!</definedName>
    <definedName name="SUPT">#REF!</definedName>
    <definedName name="t.dos">#REF!</definedName>
    <definedName name="T1_">#REF!</definedName>
    <definedName name="T10_">#REF!</definedName>
    <definedName name="t101p">#REF!</definedName>
    <definedName name="t103p">#REF!</definedName>
    <definedName name="tabel1">#REF!</definedName>
    <definedName name="TABELKEGIATAN">#REF!</definedName>
    <definedName name="Talang_Karet">#REF!</definedName>
    <definedName name="Talang_PVC6">#REF!</definedName>
    <definedName name="Talang_PVC8">#REF!</definedName>
    <definedName name="Talangkaret">#REF!</definedName>
    <definedName name="TalangMiring">#REF!</definedName>
    <definedName name="TalangPVC6">#REF!</definedName>
    <definedName name="talangPVC8">#REF!</definedName>
    <definedName name="TANAH">#REF!</definedName>
    <definedName name="tanahdipadatkan">[11]analis!$J$15</definedName>
    <definedName name="tanggabesi">#REF!</definedName>
    <definedName name="TanggalKontrak">#REF!</definedName>
    <definedName name="TANKER">#REF!</definedName>
    <definedName name="tawg16">#REF!</definedName>
    <definedName name="TB">#REF!</definedName>
    <definedName name="TBA">#REF!</definedName>
    <definedName name="TBAT">#REF!</definedName>
    <definedName name="TBatu">#REF!</definedName>
    <definedName name="TBE">#REF!</definedName>
    <definedName name="TBES">#REF!</definedName>
    <definedName name="TBesi">#REF!</definedName>
    <definedName name="TBS">#REF!</definedName>
    <definedName name="TC">#REF!</definedName>
    <definedName name="TC_1">#REF!</definedName>
    <definedName name="TC_2">#REF!</definedName>
    <definedName name="TCat">#REF!</definedName>
    <definedName name="Tee_pvc__ø_4___maspion_D">#REF!</definedName>
    <definedName name="Tegel_PC1520">#REF!</definedName>
    <definedName name="Tegel_PC20">#REF!</definedName>
    <definedName name="TegelPC1520">#REF!</definedName>
    <definedName name="TegelPC20">#REF!</definedName>
    <definedName name="TEMBOK_BATA_1_2">#REF!</definedName>
    <definedName name="TEMPAT_SABUN">#REF!</definedName>
    <definedName name="TEMPELAN_BATU_PALIMANAN">#REF!</definedName>
    <definedName name="TEMPELAN_PARAS_SARWAGENEP">#REF!</definedName>
    <definedName name="TEST">#REF!</definedName>
    <definedName name="TG">#REF!</definedName>
    <definedName name="tgl">#REF!</definedName>
    <definedName name="tiang_pancang_D35_1m1">#REF!</definedName>
    <definedName name="tiang_pancang_d40_1m1">#REF!</definedName>
    <definedName name="Tiang_Saka">#REF!</definedName>
    <definedName name="tidak">#REF!</definedName>
    <definedName name="tidf10">#REF!</definedName>
    <definedName name="tidf100">#REF!</definedName>
    <definedName name="tidf350">#REF!</definedName>
    <definedName name="TIE">#REF!</definedName>
    <definedName name="tim.urug.tnhbiasa">#REF!</definedName>
    <definedName name="TimbunanBatuGunungDiratakan">#REF!</definedName>
    <definedName name="TimbunanTanahPasirKembaliDiratakan">#REF!</definedName>
    <definedName name="TK">#REF!</definedName>
    <definedName name="TKayu">#REF!</definedName>
    <definedName name="tki">#REF!</definedName>
    <definedName name="tkitc10x2x0.6">#REF!</definedName>
    <definedName name="TL">#REF!</definedName>
    <definedName name="tl1x18gmsnb">#REF!</definedName>
    <definedName name="tl1x18tki">#REF!</definedName>
    <definedName name="tl1x18tkinb">#REF!</definedName>
    <definedName name="tl1x18tko">#REF!</definedName>
    <definedName name="tl1x18tkonb">#REF!</definedName>
    <definedName name="tl1x20">#REF!</definedName>
    <definedName name="tl1x36b">#REF!</definedName>
    <definedName name="tl1x36bimc">#REF!</definedName>
    <definedName name="tl1x36bnb">#REF!</definedName>
    <definedName name="tl1x36gmsnb">#REF!</definedName>
    <definedName name="tl1x36tbs">#REF!</definedName>
    <definedName name="tl1x36tbsnb">#REF!</definedName>
    <definedName name="tl1x36tki">#REF!</definedName>
    <definedName name="tl1x36tkinb">#REF!</definedName>
    <definedName name="tl1x36tko">#REF!</definedName>
    <definedName name="tl1x36tkonb">#REF!</definedName>
    <definedName name="tl1x40">#REF!</definedName>
    <definedName name="tl2x18tbsm2">#REF!</definedName>
    <definedName name="tl2x20">#REF!</definedName>
    <definedName name="tl2x36tbs">#REF!</definedName>
    <definedName name="tl2x36tbsnb">#REF!</definedName>
    <definedName name="tl2x36tki">#REF!</definedName>
    <definedName name="tl2x36tkinb">#REF!</definedName>
    <definedName name="tl2x36tko">#REF!</definedName>
    <definedName name="tl2x36tkonb">#REF!</definedName>
    <definedName name="tla2x18iac">#REF!</definedName>
    <definedName name="tla2x18iacbimc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b1x18">#REF!</definedName>
    <definedName name="tlb1x36">#REF!</definedName>
    <definedName name="tlb1x36bimc">#REF!</definedName>
    <definedName name="tlb1x36w">#REF!</definedName>
    <definedName name="tlbk1x36">#REF!</definedName>
    <definedName name="tlbvs2x18">#REF!</definedName>
    <definedName name="tlbvs2x18bimc">#REF!</definedName>
    <definedName name="tlc20bimc">#REF!</definedName>
    <definedName name="tlidf250p">#REF!</definedName>
    <definedName name="TLOADER">#REF!</definedName>
    <definedName name="tltko2x36">#REF!</definedName>
    <definedName name="tltko2x36bimc">#REF!</definedName>
    <definedName name="tltl20nb">#REF!</definedName>
    <definedName name="TOP">#REF!</definedName>
    <definedName name="TotalAlat">#N/A</definedName>
    <definedName name="totalan">#N/A</definedName>
    <definedName name="TotalBahan">#N/A</definedName>
    <definedName name="TotalSub">#N/A</definedName>
    <definedName name="TotalUpah">#N/A</definedName>
    <definedName name="toto_T23B13">#REF!</definedName>
    <definedName name="toto_T30ARQ13N">#REF!</definedName>
    <definedName name="toto_TS119AS5">#REF!</definedName>
    <definedName name="toto_TX1B">#REF!</definedName>
    <definedName name="toto_TX403SV3">#REF!</definedName>
    <definedName name="toto_TX4A">#REF!</definedName>
    <definedName name="toto_U57M">#REF!</definedName>
    <definedName name="tower">#REF!</definedName>
    <definedName name="town_a">#REF!</definedName>
    <definedName name="town_b">#REF!</definedName>
    <definedName name="town_c">#REF!</definedName>
    <definedName name="town_d">#REF!</definedName>
    <definedName name="town_e">#REF!</definedName>
    <definedName name="TPI">#REF!</definedName>
    <definedName name="tpm">#REF!</definedName>
    <definedName name="TPOL">#REF!</definedName>
    <definedName name="TR">#REF!</definedName>
    <definedName name="traljend">#REF!</definedName>
    <definedName name="Tras_ram">#REF!</definedName>
    <definedName name="Trasram">#REF!</definedName>
    <definedName name="triplek9">#REF!</definedName>
    <definedName name="TRIX">#REF!</definedName>
    <definedName name="TRL">#REF!</definedName>
    <definedName name="tro">#REF!</definedName>
    <definedName name="TROLLER">#REF!</definedName>
    <definedName name="TSB">#REF!</definedName>
    <definedName name="tscb">#REF!</definedName>
    <definedName name="tscs3w">#REF!</definedName>
    <definedName name="tscs6w">#REF!</definedName>
    <definedName name="tshs15">#REF!</definedName>
    <definedName name="tshs6w">#REF!</definedName>
    <definedName name="tski">#REF!</definedName>
    <definedName name="tskie">#REF!</definedName>
    <definedName name="tsnya2x1.5">#REF!</definedName>
    <definedName name="tsnyafrc">#REF!</definedName>
    <definedName name="tso">#REF!</definedName>
    <definedName name="TT_1P">#REF!</definedName>
    <definedName name="TT_3p">#REF!</definedName>
    <definedName name="TUKANG_BATU_SETENGAH_TERAMPIL">#REF!</definedName>
    <definedName name="TUKANG_BATU_TERAMPIL">#REF!</definedName>
    <definedName name="TUKANG_BESI_BETON_SETENGAH_TERAMPIL">#REF!</definedName>
    <definedName name="TUKANG_BESI_BETON_TERAMPIL">#REF!</definedName>
    <definedName name="TUKANG_BESI_PROFIL_SETENGAH_TERAMPIL">#REF!</definedName>
    <definedName name="TUKANG_BESI_PROFIL_TERAMPIL">#REF!</definedName>
    <definedName name="TUKANG_CAT___PELITUR_SETENGAH_TERAMPIL">#REF!</definedName>
    <definedName name="TUKANG_CAT___PELITUR_TERAMPIL">#REF!</definedName>
    <definedName name="TUKANG_GALI">#REF!</definedName>
    <definedName name="TUKANG_KAYU_SETENGAH_TERAMPIL">#REF!</definedName>
    <definedName name="TUKANG_KAYU_TERAMPIL">#REF!</definedName>
    <definedName name="TUKANG_MEUBELAIR">#REF!</definedName>
    <definedName name="TUKANG_TAMAN">#REF!</definedName>
    <definedName name="tukangstylebali">[19]Bahan!$F$114</definedName>
    <definedName name="TYPICAL_FLOOR___7_LEVEL">#REF!</definedName>
    <definedName name="u">#REF!</definedName>
    <definedName name="U.Cor1">#REF!</definedName>
    <definedName name="U.Cor2">#REF!</definedName>
    <definedName name="U.Curing">#REF!</definedName>
    <definedName name="U.Gelarbase">#REF!</definedName>
    <definedName name="U.Gelarps">#REF!</definedName>
    <definedName name="U_24">#REF!</definedName>
    <definedName name="U_32">#REF!</definedName>
    <definedName name="UK">#REF!</definedName>
    <definedName name="UKK">#REF!</definedName>
    <definedName name="UMAN">#REF!</definedName>
    <definedName name="UpahBahan1">[12]BAHAN!$D$1:$E$65536</definedName>
    <definedName name="UpahBahan2">[12]BAHAN!$E$1:$E$65536</definedName>
    <definedName name="upahbatu">#REF!</definedName>
    <definedName name="upahbegesting">#REF!</definedName>
    <definedName name="upahbesi">#REF!</definedName>
    <definedName name="upahbeton">#REF!</definedName>
    <definedName name="UpahK">#REF!</definedName>
    <definedName name="upahk175">#REF!</definedName>
    <definedName name="upahk350">#REF!</definedName>
    <definedName name="upahkb0">#REF!</definedName>
    <definedName name="upahkerjabeton">#REF!</definedName>
    <definedName name="Upahmacadam">#REF!</definedName>
    <definedName name="UPL">#REF!</definedName>
    <definedName name="URAIAN">[6]Div.2!$A$1:$J$228</definedName>
    <definedName name="URAIAN22L">#REF!</definedName>
    <definedName name="URAIAN231">#REF!</definedName>
    <definedName name="URAIAN232">#REF!</definedName>
    <definedName name="URAIAN233">#REF!</definedName>
    <definedName name="Uraian234">#REF!</definedName>
    <definedName name="URAIAN234L">#REF!</definedName>
    <definedName name="Uraian235">#REF!</definedName>
    <definedName name="Uraian236">#REF!</definedName>
    <definedName name="URAIAN241">#REF!</definedName>
    <definedName name="URAIAN242">#REF!</definedName>
    <definedName name="URAIAN243">#REF!</definedName>
    <definedName name="Uraian311">#REF!</definedName>
    <definedName name="Uraian312">#REF!</definedName>
    <definedName name="Uraian313">#REF!</definedName>
    <definedName name="Uraian314">#REF!</definedName>
    <definedName name="Uraian315">#REF!</definedName>
    <definedName name="Uraian319">#REF!</definedName>
    <definedName name="Uraian321">#REF!</definedName>
    <definedName name="Uraian322">#REF!</definedName>
    <definedName name="Uraian323">#REF!</definedName>
    <definedName name="URAIAN323L">#REF!</definedName>
    <definedName name="Uraian324">#REF!</definedName>
    <definedName name="Uraian33">#REF!</definedName>
    <definedName name="Uraian331">#REF!</definedName>
    <definedName name="Uraian346">#REF!</definedName>
    <definedName name="URAIAN421">#REF!</definedName>
    <definedName name="URAIAN422">#REF!</definedName>
    <definedName name="URAIAN423">#REF!</definedName>
    <definedName name="URAIAN424">#REF!</definedName>
    <definedName name="URAIAN425">#REF!</definedName>
    <definedName name="URAIAN426">#REF!</definedName>
    <definedName name="URAIAN427">#REF!</definedName>
    <definedName name="URAIAN511">#REF!</definedName>
    <definedName name="URAIAN512">#REF!</definedName>
    <definedName name="URAIAN521">#REF!</definedName>
    <definedName name="URAIAN522">#REF!</definedName>
    <definedName name="URAIAN541">#REF!</definedName>
    <definedName name="URAIAN542">#REF!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24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51">#REF!</definedName>
    <definedName name="URAIAN661">#REF!</definedName>
    <definedName name="URAIAN662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3PL">#REF!</definedName>
    <definedName name="URAIAN73UL">#REF!</definedName>
    <definedName name="URAIAN744">#REF!</definedName>
    <definedName name="URAIAN745">#REF!</definedName>
    <definedName name="URAIAN751">#REF!</definedName>
    <definedName name="URAIAN752">#REF!</definedName>
    <definedName name="URAIAN7610">#REF!</definedName>
    <definedName name="URAIAN7611">#REF!</definedName>
    <definedName name="URAIAN7612">#REF!</definedName>
    <definedName name="URAIAN7612a">#REF!</definedName>
    <definedName name="URAIAN7612b">#REF!</definedName>
    <definedName name="URAIAN7612c">#REF!</definedName>
    <definedName name="URAIAN7613">#REF!</definedName>
    <definedName name="URAIAN7613a">#REF!</definedName>
    <definedName name="URAIAN7613b">#REF!</definedName>
    <definedName name="URAIAN7613c">#REF!</definedName>
    <definedName name="URAIAN7614">#REF!</definedName>
    <definedName name="URAIAN7614a">#REF!</definedName>
    <definedName name="URAIAN7614b">#REF!</definedName>
    <definedName name="URAIAN7614d">#REF!</definedName>
    <definedName name="URAIAN7614e">#REF!</definedName>
    <definedName name="URAIAN7615">#REF!</definedName>
    <definedName name="URAIAN7616">#REF!</definedName>
    <definedName name="URAIAN7617">#REF!</definedName>
    <definedName name="URAIAN7618">#REF!</definedName>
    <definedName name="URAIAN7619">#REF!</definedName>
    <definedName name="URAIAN7620">#REF!</definedName>
    <definedName name="URAIAN7621">#REF!</definedName>
    <definedName name="URAIAN7625">#REF!</definedName>
    <definedName name="URAIAN7626">#REF!</definedName>
    <definedName name="URAIAN767">#REF!</definedName>
    <definedName name="URAIAN768">#REF!</definedName>
    <definedName name="URAIAN769">#REF!</definedName>
    <definedName name="URAIAN76x">#REF!</definedName>
    <definedName name="URAIAN771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75">#REF!</definedName>
    <definedName name="URAIAN79">#REF!</definedName>
    <definedName name="URAIAN79L">#REF!</definedName>
    <definedName name="URAIAN79manual">#REF!</definedName>
    <definedName name="URAIAN79mekanis">#REF!</definedName>
    <definedName name="URAIAN915">#REF!</definedName>
    <definedName name="URAIAN916">#REF!</definedName>
    <definedName name="URAIAN917">#REF!</definedName>
    <definedName name="URAIAN918">#REF!</definedName>
    <definedName name="URAIAN919">#REF!</definedName>
    <definedName name="URAIAN920">#REF!</definedName>
    <definedName name="URAIAN94">#REF!</definedName>
    <definedName name="URAIAN95">#REF!</definedName>
    <definedName name="URAIAN96">#REF!</definedName>
    <definedName name="URAIAN97">#REF!</definedName>
    <definedName name="URAIAN98">#REF!</definedName>
    <definedName name="URAIAN99">#REF!</definedName>
    <definedName name="URAIANGEOTEKSTIL">#REF!</definedName>
    <definedName name="Urg_Pasir">#REF!</definedName>
    <definedName name="Urg_Sirtu">#REF!</definedName>
    <definedName name="Urg_Tnh_Kmb">#REF!</definedName>
    <definedName name="Urg_Tnh_Padat">#REF!</definedName>
    <definedName name="Urg_Tnh_Pdt">#REF!</definedName>
    <definedName name="UrgBTGunung">#REF!</definedName>
    <definedName name="urin">#REF!</definedName>
    <definedName name="URPIL_1">#REF!</definedName>
    <definedName name="URPIL_2">#REF!</definedName>
    <definedName name="URPIL_3">#REF!</definedName>
    <definedName name="URTANBIS_1">#REF!</definedName>
    <definedName name="URTANBIS_2">#REF!</definedName>
    <definedName name="URTANBIS_3">#REF!</definedName>
    <definedName name="URUGAN_KORAL_BIASA">#REF!</definedName>
    <definedName name="urugan_limestone">#REF!</definedName>
    <definedName name="urugan_sirtu">#REF!</definedName>
    <definedName name="Urugan_Tanah_Kemb">#REF!</definedName>
    <definedName name="urugankembali">[11]analis!$J$19</definedName>
    <definedName name="uruganlimestone">#REF!</definedName>
    <definedName name="uruganpasir">#REF!</definedName>
    <definedName name="uruganpupukkandang">#REF!</definedName>
    <definedName name="urugantanahdipadatkan">#REF!</definedName>
    <definedName name="urugantanahkembali">#REF!</definedName>
    <definedName name="urugantanahsubur">#REF!</definedName>
    <definedName name="urugatnh.bhpilih">#REF!</definedName>
    <definedName name="Usuk">#REF!</definedName>
    <definedName name="Usuk_Reng">#REF!</definedName>
    <definedName name="Usuk_RengKamper">#REF!</definedName>
    <definedName name="Usuk_Rengkmpreksp">#REF!</definedName>
    <definedName name="usukreng">#REF!</definedName>
    <definedName name="Usukrengkamper">#REF!</definedName>
    <definedName name="Usukrengkamperekspose">#REF!</definedName>
    <definedName name="UTAMA">#REF!</definedName>
    <definedName name="utul24">#REF!</definedName>
    <definedName name="utul39">#REF!</definedName>
    <definedName name="uu">[11]analis!$J$407</definedName>
    <definedName name="V">#REF!</definedName>
    <definedName name="V_A">#REF!</definedName>
    <definedName name="V_B">#REF!</definedName>
    <definedName name="v_bouwplank">#REF!</definedName>
    <definedName name="v_btnrbtlantai">#REF!</definedName>
    <definedName name="V_C">#REF!</definedName>
    <definedName name="V_D">#REF!</definedName>
    <definedName name="v_galpondmenerus">#REF!</definedName>
    <definedName name="v_galpondtelapak">#REF!</definedName>
    <definedName name="v_pasbtkali">#REF!</definedName>
    <definedName name="v_pasbtkosong">#REF!</definedName>
    <definedName name="v_pembersihan">#REF!</definedName>
    <definedName name="v_urgtnhlevellantai">#REF!</definedName>
    <definedName name="v_urpsrbwhlantai">#REF!</definedName>
    <definedName name="v_urpsrpondmenerus">#REF!</definedName>
    <definedName name="v_urugkembali">#REF!</definedName>
    <definedName name="Ver_nis">#REF!</definedName>
    <definedName name="Vernis">#REF!</definedName>
    <definedName name="VII_LD">#REF!</definedName>
    <definedName name="vl1p">#REF!</definedName>
    <definedName name="vl3p">#REF!</definedName>
    <definedName name="vntf100">#REF!</definedName>
    <definedName name="vntf80">#REF!</definedName>
    <definedName name="vol">#REF!</definedName>
    <definedName name="voltulD">#REF!</definedName>
    <definedName name="voltuld1">#REF!</definedName>
    <definedName name="VOLUME">#REF!</definedName>
    <definedName name="volumetulanganD">#REF!</definedName>
    <definedName name="vr3p">#REF!</definedName>
    <definedName name="VROLLER">#REF!</definedName>
    <definedName name="Vu_Lain">#REF!</definedName>
    <definedName name="VUP">#REF!</definedName>
    <definedName name="w">#REF!</definedName>
    <definedName name="WARTO" hidden="1">{#N/A,#N/A,FALSE,"REK";#N/A,#N/A,FALSE,"rab"}</definedName>
    <definedName name="Water_Proff">#REF!</definedName>
    <definedName name="Waterproff">#REF!</definedName>
    <definedName name="Waterproffing">#REF!</definedName>
    <definedName name="waterprofing">#REF!</definedName>
    <definedName name="wedus" hidden="1">#REF!</definedName>
    <definedName name="Wiremesh_m5">#REF!</definedName>
    <definedName name="Wiremesh_m6">#REF!</definedName>
    <definedName name="Wiremesh_m7">#REF!</definedName>
    <definedName name="WLOADER">#REF!</definedName>
    <definedName name="wrn.AAA." hidden="1">{#N/A,#N/A,FALSE,"REK";#N/A,#N/A,FALSE,"Bq-ARS"}</definedName>
    <definedName name="wrn.chi._.tiÆt." hidden="1">{#N/A,#N/A,FALSE,"Chi tiÆt"}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rtpl." hidden="1">{#N/A,#N/A,FALSE,"REK-S-TPL";#N/A,#N/A,FALSE,"REK-TPML";#N/A,#N/A,FALSE,"RAB-TEMPEL"}</definedName>
    <definedName name="wrn.ry." hidden="1">{#N/A,#N/A,FALSE,"REK";#N/A,#N/A,FALSE,"rab"}</definedName>
    <definedName name="wtc">#REF!</definedName>
    <definedName name="www">#REF!</definedName>
    <definedName name="XCCT">0.5</definedName>
    <definedName name="xxx">#N/A</definedName>
    <definedName name="yayuk" hidden="1">#REF!</definedName>
    <definedName name="Z">#REF!</definedName>
    <definedName name="ZZ">#REF!</definedName>
  </definedNames>
  <calcPr calcId="144525"/>
  <fileRecoveryPr autoRecover="0"/>
</workbook>
</file>

<file path=xl/calcChain.xml><?xml version="1.0" encoding="utf-8"?>
<calcChain xmlns="http://schemas.openxmlformats.org/spreadsheetml/2006/main">
  <c r="I5" i="77" l="1"/>
  <c r="I6" i="77"/>
  <c r="I7" i="77"/>
  <c r="I8" i="77"/>
  <c r="I9" i="77"/>
  <c r="I10" i="77"/>
  <c r="I11" i="77"/>
  <c r="I12" i="77"/>
  <c r="I13" i="77"/>
  <c r="I14" i="77"/>
  <c r="I15" i="77"/>
  <c r="I16" i="77"/>
  <c r="I17" i="77"/>
  <c r="I18" i="77"/>
  <c r="I19" i="77"/>
  <c r="I20" i="77"/>
  <c r="I21" i="77"/>
  <c r="I22" i="77"/>
  <c r="I23" i="77"/>
  <c r="I24" i="77"/>
  <c r="I25" i="77"/>
  <c r="I26" i="77"/>
  <c r="I27" i="77"/>
  <c r="I28" i="77"/>
  <c r="I29" i="77"/>
  <c r="I30" i="77"/>
  <c r="I31" i="77"/>
  <c r="I32" i="77"/>
  <c r="I33" i="77"/>
  <c r="I34" i="77"/>
  <c r="I35" i="77"/>
  <c r="I36" i="77"/>
  <c r="I37" i="77"/>
  <c r="I38" i="77"/>
  <c r="I39" i="77"/>
  <c r="I40" i="77"/>
  <c r="I41" i="77"/>
  <c r="I42" i="77"/>
  <c r="I43" i="77"/>
  <c r="I44" i="77"/>
  <c r="I45" i="77"/>
  <c r="I46" i="77"/>
  <c r="I47" i="77"/>
  <c r="I48" i="77"/>
  <c r="I49" i="77"/>
  <c r="I50" i="77"/>
  <c r="I51" i="77"/>
  <c r="I52" i="77"/>
  <c r="I53" i="77"/>
  <c r="I54" i="77"/>
  <c r="I55" i="77"/>
  <c r="I56" i="77"/>
  <c r="I57" i="77"/>
  <c r="I58" i="77"/>
  <c r="I59" i="77"/>
  <c r="I60" i="77"/>
  <c r="I61" i="77"/>
  <c r="I62" i="77"/>
  <c r="I63" i="77"/>
  <c r="I64" i="77"/>
  <c r="I65" i="77"/>
  <c r="I66" i="77"/>
  <c r="I67" i="77"/>
  <c r="I68" i="77"/>
  <c r="I69" i="77"/>
  <c r="I70" i="77"/>
  <c r="I71" i="77"/>
  <c r="I72" i="77"/>
  <c r="I73" i="77"/>
  <c r="I74" i="77"/>
  <c r="I75" i="77"/>
  <c r="I76" i="77"/>
  <c r="I77" i="77"/>
  <c r="I78" i="77"/>
  <c r="I79" i="77"/>
  <c r="I80" i="77"/>
  <c r="I81" i="77"/>
  <c r="I82" i="77"/>
  <c r="I83" i="77"/>
  <c r="I84" i="77"/>
  <c r="I85" i="77"/>
  <c r="I86" i="77"/>
  <c r="I87" i="77"/>
  <c r="I88" i="77"/>
  <c r="I89" i="77"/>
  <c r="I90" i="77"/>
  <c r="I91" i="77"/>
  <c r="I92" i="77"/>
  <c r="I93" i="77"/>
  <c r="I94" i="77"/>
  <c r="I95" i="77"/>
  <c r="I96" i="77"/>
  <c r="I97" i="77"/>
  <c r="I98" i="77"/>
  <c r="I99" i="77"/>
  <c r="I100" i="77"/>
  <c r="I101" i="77"/>
  <c r="I102" i="77"/>
  <c r="I103" i="77"/>
  <c r="I104" i="77"/>
  <c r="I105" i="77"/>
  <c r="I106" i="77"/>
  <c r="I107" i="77"/>
  <c r="I108" i="77"/>
  <c r="I109" i="77"/>
  <c r="I110" i="77"/>
  <c r="I111" i="77"/>
  <c r="I112" i="77"/>
  <c r="I113" i="77"/>
  <c r="I114" i="77"/>
  <c r="I115" i="77"/>
  <c r="I116" i="77"/>
  <c r="I117" i="77"/>
  <c r="I118" i="77"/>
  <c r="I119" i="77"/>
  <c r="I120" i="77"/>
  <c r="I121" i="77"/>
  <c r="I122" i="77"/>
  <c r="I123" i="77"/>
  <c r="I124" i="77"/>
  <c r="I125" i="77"/>
  <c r="I126" i="77"/>
  <c r="I127" i="77"/>
  <c r="I4" i="77"/>
  <c r="H128" i="77"/>
  <c r="O27" i="76"/>
  <c r="L11" i="76"/>
  <c r="L12" i="76"/>
  <c r="L13" i="76"/>
  <c r="L14" i="76"/>
  <c r="L15" i="76"/>
  <c r="L16" i="76"/>
  <c r="L17" i="76"/>
  <c r="L18" i="76"/>
  <c r="L19" i="76"/>
  <c r="L20" i="76"/>
  <c r="L21" i="76"/>
  <c r="L22" i="76"/>
  <c r="L23" i="76"/>
  <c r="L24" i="76"/>
  <c r="L25" i="76"/>
  <c r="L26" i="76"/>
  <c r="L27" i="76"/>
  <c r="L28" i="76"/>
  <c r="L29" i="76"/>
  <c r="L30" i="76"/>
  <c r="L31" i="76"/>
  <c r="L32" i="76"/>
  <c r="L33" i="76"/>
  <c r="L34" i="76"/>
  <c r="L35" i="76"/>
  <c r="L36" i="76"/>
  <c r="L10" i="76"/>
  <c r="H218" i="69" l="1"/>
  <c r="H217" i="69"/>
  <c r="H281" i="69" l="1"/>
  <c r="H282" i="69"/>
  <c r="H274" i="69"/>
  <c r="H275" i="69"/>
  <c r="H276" i="69"/>
  <c r="H273" i="69"/>
  <c r="E4" i="69"/>
  <c r="E3" i="69"/>
  <c r="A1" i="69"/>
  <c r="B37" i="2"/>
  <c r="B38" i="2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F2355" i="50"/>
  <c r="F2354" i="50"/>
  <c r="F2319" i="50"/>
  <c r="F2318" i="50"/>
  <c r="F2161" i="50"/>
  <c r="F2160" i="50"/>
  <c r="F2122" i="50"/>
  <c r="F2119" i="50"/>
  <c r="F841" i="50"/>
  <c r="F1317" i="50"/>
  <c r="F1316" i="50"/>
  <c r="B136" i="2"/>
  <c r="B137" i="2"/>
  <c r="B134" i="2"/>
  <c r="B135" i="2"/>
  <c r="B116" i="2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L284" i="2"/>
  <c r="L174" i="2"/>
  <c r="L173" i="2"/>
  <c r="L85" i="2"/>
  <c r="L76" i="2"/>
  <c r="F2165" i="50"/>
  <c r="F2166" i="50"/>
  <c r="F2167" i="50"/>
  <c r="F2168" i="50"/>
  <c r="F2169" i="50"/>
  <c r="F2170" i="50"/>
  <c r="F2171" i="50"/>
  <c r="F2172" i="50"/>
  <c r="F2164" i="50"/>
  <c r="H95" i="69"/>
  <c r="H96" i="69"/>
  <c r="H97" i="69"/>
  <c r="H98" i="69"/>
  <c r="H99" i="69"/>
  <c r="H100" i="69"/>
  <c r="H101" i="69"/>
  <c r="H102" i="69"/>
  <c r="H103" i="69"/>
  <c r="H104" i="69"/>
  <c r="H105" i="69"/>
  <c r="H106" i="69"/>
  <c r="H107" i="69"/>
  <c r="H108" i="69"/>
  <c r="H93" i="69"/>
  <c r="H94" i="69"/>
  <c r="H92" i="69"/>
  <c r="H83" i="69"/>
  <c r="H79" i="69"/>
  <c r="J166" i="70" l="1"/>
  <c r="J165" i="70"/>
  <c r="F130" i="69"/>
  <c r="F129" i="69"/>
  <c r="G168" i="70"/>
  <c r="F95" i="70"/>
  <c r="F69" i="70"/>
  <c r="J69" i="70" s="1"/>
  <c r="J68" i="70"/>
  <c r="J67" i="70"/>
  <c r="J66" i="70"/>
  <c r="F2367" i="50"/>
  <c r="F2366" i="50"/>
  <c r="F2365" i="50"/>
  <c r="E2153" i="50"/>
  <c r="E2132" i="50"/>
  <c r="E2093" i="50"/>
  <c r="E1966" i="50"/>
  <c r="E1947" i="50"/>
  <c r="E1928" i="50"/>
  <c r="E1892" i="50"/>
  <c r="E1874" i="50"/>
  <c r="E1856" i="50"/>
  <c r="E1836" i="50"/>
  <c r="E1818" i="50"/>
  <c r="E1800" i="50"/>
  <c r="E1782" i="50"/>
  <c r="E1764" i="50"/>
  <c r="E1739" i="50"/>
  <c r="E1711" i="50"/>
  <c r="E1692" i="50"/>
  <c r="E1673" i="50"/>
  <c r="E1654" i="50"/>
  <c r="E1634" i="50"/>
  <c r="E1615" i="50"/>
  <c r="E1596" i="50"/>
  <c r="E1577" i="50"/>
  <c r="E1556" i="50"/>
  <c r="E1532" i="50"/>
  <c r="E1511" i="50"/>
  <c r="E1492" i="50"/>
  <c r="E1473" i="50"/>
  <c r="E1451" i="50"/>
  <c r="E1433" i="50"/>
  <c r="E1415" i="50"/>
  <c r="E1397" i="50"/>
  <c r="E1379" i="50"/>
  <c r="E1360" i="50"/>
  <c r="E1342" i="50"/>
  <c r="E145" i="50"/>
  <c r="F2081" i="50" l="1"/>
  <c r="G2081" i="50" s="1"/>
  <c r="F2082" i="50"/>
  <c r="F2101" i="50" s="1"/>
  <c r="G2101" i="50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F2188" i="50"/>
  <c r="G2188" i="50" s="1"/>
  <c r="F2189" i="50"/>
  <c r="G2189" i="50" s="1"/>
  <c r="F2190" i="50"/>
  <c r="G2190" i="50" s="1"/>
  <c r="J2193" i="50"/>
  <c r="J2194" i="50"/>
  <c r="F2195" i="50"/>
  <c r="G2195" i="50" s="1"/>
  <c r="E2200" i="50"/>
  <c r="F2211" i="50"/>
  <c r="G2211" i="50" s="1"/>
  <c r="F2216" i="50"/>
  <c r="G2216" i="50" s="1"/>
  <c r="F2217" i="50"/>
  <c r="G2217" i="50" s="1"/>
  <c r="F2218" i="50"/>
  <c r="G2218" i="50" s="1"/>
  <c r="E2223" i="50"/>
  <c r="F2083" i="50"/>
  <c r="G2083" i="50" s="1"/>
  <c r="F2084" i="50"/>
  <c r="F2103" i="50" s="1"/>
  <c r="G2103" i="50" s="1"/>
  <c r="F2087" i="50"/>
  <c r="G2087" i="50" s="1"/>
  <c r="F2088" i="50"/>
  <c r="G2088" i="50" s="1"/>
  <c r="F2106" i="50"/>
  <c r="G2106" i="50" s="1"/>
  <c r="F2107" i="50"/>
  <c r="G2107" i="50" s="1"/>
  <c r="E2112" i="50"/>
  <c r="F2120" i="50"/>
  <c r="G2120" i="50" s="1"/>
  <c r="F2121" i="50"/>
  <c r="G2121" i="50" s="1"/>
  <c r="G2122" i="50"/>
  <c r="F2125" i="50"/>
  <c r="G2125" i="50" s="1"/>
  <c r="F2126" i="50"/>
  <c r="G2126" i="50" s="1"/>
  <c r="F2127" i="50"/>
  <c r="G2127" i="50" s="1"/>
  <c r="B200" i="51"/>
  <c r="B2384" i="50"/>
  <c r="F2385" i="50"/>
  <c r="G2385" i="50" s="1"/>
  <c r="E2388" i="50"/>
  <c r="F1242" i="50"/>
  <c r="G1242" i="50" s="1"/>
  <c r="F1240" i="50"/>
  <c r="G1240" i="50" s="1"/>
  <c r="G2108" i="50" l="1"/>
  <c r="G2219" i="50"/>
  <c r="F2100" i="50"/>
  <c r="G2100" i="50" s="1"/>
  <c r="F2232" i="50"/>
  <c r="G2082" i="50"/>
  <c r="F2213" i="50"/>
  <c r="G2213" i="50" s="1"/>
  <c r="F2212" i="50"/>
  <c r="G2212" i="50" s="1"/>
  <c r="G2128" i="50"/>
  <c r="G2084" i="50"/>
  <c r="F2102" i="50"/>
  <c r="G2102" i="50" s="1"/>
  <c r="G2089" i="50"/>
  <c r="G2085" i="50" l="1"/>
  <c r="G2092" i="50" s="1"/>
  <c r="G2093" i="50" s="1"/>
  <c r="G2094" i="50" s="1"/>
  <c r="F2233" i="50"/>
  <c r="G2104" i="50"/>
  <c r="G2111" i="50" s="1"/>
  <c r="G2112" i="50" s="1"/>
  <c r="G2113" i="50" s="1"/>
  <c r="E1323" i="50" l="1"/>
  <c r="E1289" i="50"/>
  <c r="E1269" i="50"/>
  <c r="E1248" i="50"/>
  <c r="E1226" i="50"/>
  <c r="E1207" i="50"/>
  <c r="E1186" i="50"/>
  <c r="E1167" i="50"/>
  <c r="E1132" i="50"/>
  <c r="E1110" i="50"/>
  <c r="E1091" i="50"/>
  <c r="E1068" i="50"/>
  <c r="E1048" i="50"/>
  <c r="E1027" i="50"/>
  <c r="E1006" i="50"/>
  <c r="E976" i="50"/>
  <c r="E957" i="50"/>
  <c r="E938" i="50"/>
  <c r="E919" i="50"/>
  <c r="E889" i="50"/>
  <c r="E868" i="50"/>
  <c r="E848" i="50"/>
  <c r="E827" i="50"/>
  <c r="E803" i="50"/>
  <c r="E778" i="50"/>
  <c r="E750" i="50"/>
  <c r="E732" i="50"/>
  <c r="E712" i="50"/>
  <c r="E673" i="50"/>
  <c r="E654" i="50"/>
  <c r="E634" i="50"/>
  <c r="E614" i="50"/>
  <c r="E595" i="50"/>
  <c r="E576" i="50"/>
  <c r="E557" i="50"/>
  <c r="E538" i="50"/>
  <c r="E518" i="50"/>
  <c r="E497" i="50"/>
  <c r="E478" i="50"/>
  <c r="E448" i="50"/>
  <c r="E428" i="50"/>
  <c r="E406" i="50"/>
  <c r="E377" i="50"/>
  <c r="E355" i="50"/>
  <c r="E329" i="50"/>
  <c r="E303" i="50"/>
  <c r="E281" i="50"/>
  <c r="E259" i="50"/>
  <c r="E235" i="50"/>
  <c r="E213" i="50"/>
  <c r="E188" i="50"/>
  <c r="E166" i="50"/>
  <c r="G75" i="74" l="1"/>
  <c r="G74" i="74"/>
  <c r="G76" i="74" s="1"/>
  <c r="F217" i="69"/>
  <c r="F218" i="69"/>
  <c r="F219" i="69"/>
  <c r="F220" i="69"/>
  <c r="F221" i="69"/>
  <c r="F222" i="69"/>
  <c r="F223" i="69"/>
  <c r="F224" i="69"/>
  <c r="F227" i="69"/>
  <c r="F228" i="69"/>
  <c r="F229" i="69"/>
  <c r="F232" i="69"/>
  <c r="F233" i="69"/>
  <c r="F234" i="69"/>
  <c r="F235" i="69"/>
  <c r="F236" i="69"/>
  <c r="B198" i="51" l="1"/>
  <c r="F2370" i="50"/>
  <c r="E2377" i="50"/>
  <c r="E2372" i="50"/>
  <c r="E2371" i="50"/>
  <c r="G2375" i="50"/>
  <c r="G2367" i="50"/>
  <c r="G2366" i="50"/>
  <c r="G2365" i="50"/>
  <c r="G2370" i="50" l="1"/>
  <c r="G2368" i="50"/>
  <c r="E2238" i="50" l="1"/>
  <c r="E2258" i="50"/>
  <c r="E2257" i="50"/>
  <c r="E2286" i="50"/>
  <c r="E2287" i="50"/>
  <c r="D311" i="2" l="1"/>
  <c r="D312" i="2" s="1"/>
  <c r="B311" i="2"/>
  <c r="B312" i="2" s="1"/>
  <c r="D236" i="2"/>
  <c r="F80" i="2" l="1"/>
  <c r="B190" i="51"/>
  <c r="F2287" i="50"/>
  <c r="G2287" i="50" s="1"/>
  <c r="E2293" i="50"/>
  <c r="B189" i="51" l="1"/>
  <c r="F2258" i="50"/>
  <c r="E2264" i="50"/>
  <c r="G2258" i="50" l="1"/>
  <c r="F2286" i="50"/>
  <c r="G2286" i="50" s="1"/>
  <c r="E2318" i="50" l="1"/>
  <c r="I2318" i="50" l="1"/>
  <c r="K2317" i="50"/>
  <c r="E2317" i="50"/>
  <c r="E2316" i="50"/>
  <c r="E2314" i="50"/>
  <c r="E2315" i="50" s="1"/>
  <c r="B194" i="51"/>
  <c r="E2322" i="50"/>
  <c r="E2305" i="50"/>
  <c r="G2354" i="50"/>
  <c r="E2349" i="50"/>
  <c r="I2349" i="50"/>
  <c r="I2350" i="50" s="1"/>
  <c r="E2350" i="50"/>
  <c r="E2351" i="50"/>
  <c r="E2014" i="50"/>
  <c r="E2013" i="50"/>
  <c r="E2012" i="50"/>
  <c r="E2011" i="50"/>
  <c r="F2017" i="50"/>
  <c r="G2018" i="50" s="1"/>
  <c r="F1998" i="50"/>
  <c r="G1999" i="50" s="1"/>
  <c r="B171" i="51"/>
  <c r="B170" i="51"/>
  <c r="D295" i="2"/>
  <c r="D296" i="2" s="1"/>
  <c r="E2299" i="50"/>
  <c r="E2300" i="50" s="1"/>
  <c r="E2301" i="50"/>
  <c r="E2024" i="50"/>
  <c r="E2004" i="50"/>
  <c r="B196" i="51"/>
  <c r="E2347" i="50"/>
  <c r="E2348" i="50" s="1"/>
  <c r="E2358" i="50"/>
  <c r="E2308" i="50"/>
  <c r="B173" i="51"/>
  <c r="B172" i="51"/>
  <c r="E2074" i="50"/>
  <c r="E2044" i="50"/>
  <c r="F2037" i="50"/>
  <c r="G2037" i="50" s="1"/>
  <c r="F2067" i="50"/>
  <c r="G2067" i="50" s="1"/>
  <c r="D297" i="2"/>
  <c r="D298" i="2" s="1"/>
  <c r="D2300" i="50"/>
  <c r="D2302" i="50" s="1"/>
  <c r="D2299" i="50"/>
  <c r="D2314" i="50" s="1"/>
  <c r="D2315" i="50" s="1"/>
  <c r="D2317" i="50" s="1"/>
  <c r="D2305" i="50"/>
  <c r="B46" i="51"/>
  <c r="D2348" i="50" l="1"/>
  <c r="D2350" i="50" s="1"/>
  <c r="G1998" i="50"/>
  <c r="G2000" i="50" s="1"/>
  <c r="G2017" i="50"/>
  <c r="G2019" i="50" s="1"/>
  <c r="G2068" i="50"/>
  <c r="G2069" i="50" s="1"/>
  <c r="G2038" i="50"/>
  <c r="G2039" i="50" s="1"/>
  <c r="D2347" i="50" l="1"/>
  <c r="B192" i="51"/>
  <c r="B188" i="51" l="1"/>
  <c r="E2244" i="50"/>
  <c r="F2241" i="50"/>
  <c r="F2238" i="50"/>
  <c r="G2241" i="50" l="1"/>
  <c r="G2242" i="50" s="1"/>
  <c r="F2261" i="50"/>
  <c r="G2238" i="50"/>
  <c r="G2319" i="50"/>
  <c r="G2261" i="50" l="1"/>
  <c r="G2262" i="50" s="1"/>
  <c r="F2290" i="50"/>
  <c r="G2290" i="50" s="1"/>
  <c r="G2291" i="50" s="1"/>
  <c r="J119" i="70"/>
  <c r="H122" i="70"/>
  <c r="F120" i="70"/>
  <c r="F234" i="70"/>
  <c r="J65" i="70"/>
  <c r="H215" i="70"/>
  <c r="F153" i="69"/>
  <c r="F152" i="69"/>
  <c r="F151" i="69"/>
  <c r="G151" i="69"/>
  <c r="G153" i="69" s="1"/>
  <c r="F171" i="70"/>
  <c r="G156" i="69" l="1"/>
  <c r="G185" i="69" l="1"/>
  <c r="G133" i="69"/>
  <c r="G208" i="69" l="1"/>
  <c r="J70" i="70" l="1"/>
  <c r="J174" i="70"/>
  <c r="J176" i="70"/>
  <c r="J175" i="70"/>
  <c r="J171" i="70"/>
  <c r="I176" i="70"/>
  <c r="F176" i="70"/>
  <c r="G176" i="70"/>
  <c r="G175" i="70"/>
  <c r="J177" i="70"/>
  <c r="F177" i="70"/>
  <c r="J172" i="70"/>
  <c r="I172" i="70"/>
  <c r="H172" i="70"/>
  <c r="G172" i="70"/>
  <c r="J169" i="70"/>
  <c r="F194" i="69" s="1"/>
  <c r="J170" i="70"/>
  <c r="I170" i="70"/>
  <c r="I171" i="70"/>
  <c r="G171" i="70"/>
  <c r="G170" i="70"/>
  <c r="F175" i="70"/>
  <c r="J168" i="70"/>
  <c r="J173" i="70"/>
  <c r="F173" i="70"/>
  <c r="F198" i="69"/>
  <c r="F197" i="69"/>
  <c r="F196" i="69"/>
  <c r="F195" i="69"/>
  <c r="F193" i="69"/>
  <c r="G195" i="69"/>
  <c r="F165" i="70" l="1"/>
  <c r="H209" i="69"/>
  <c r="I209" i="69" s="1"/>
  <c r="E36" i="5"/>
  <c r="E37" i="5" s="1"/>
  <c r="F257" i="70" l="1"/>
  <c r="F82" i="70"/>
  <c r="G71" i="70"/>
  <c r="J64" i="70"/>
  <c r="G306" i="70"/>
  <c r="H296" i="70"/>
  <c r="F295" i="70"/>
  <c r="J295" i="70" s="1"/>
  <c r="F294" i="70"/>
  <c r="H86" i="69" l="1"/>
  <c r="H87" i="69"/>
  <c r="I87" i="69" s="1"/>
  <c r="F85" i="69"/>
  <c r="H85" i="69"/>
  <c r="H84" i="69"/>
  <c r="I85" i="69" l="1"/>
  <c r="H216" i="70" l="1"/>
  <c r="F276" i="70"/>
  <c r="F275" i="70"/>
  <c r="H224" i="69"/>
  <c r="H223" i="69"/>
  <c r="F156" i="69"/>
  <c r="F157" i="69"/>
  <c r="Q215" i="70"/>
  <c r="P213" i="70"/>
  <c r="P199" i="70"/>
  <c r="P198" i="70"/>
  <c r="P196" i="70"/>
  <c r="P195" i="70"/>
  <c r="P184" i="70"/>
  <c r="J116" i="70"/>
  <c r="J117" i="70"/>
  <c r="P46" i="70"/>
  <c r="P38" i="70"/>
  <c r="P56" i="70"/>
  <c r="P52" i="70"/>
  <c r="P51" i="70"/>
  <c r="P50" i="70"/>
  <c r="P47" i="70"/>
  <c r="P42" i="70"/>
  <c r="P40" i="70"/>
  <c r="P39" i="70"/>
  <c r="P181" i="70" l="1"/>
  <c r="J290" i="70" s="1"/>
  <c r="H196" i="70"/>
  <c r="G195" i="70"/>
  <c r="F92" i="70"/>
  <c r="F96" i="70" s="1"/>
  <c r="G91" i="70"/>
  <c r="G93" i="70"/>
  <c r="F248" i="69" l="1"/>
  <c r="J289" i="70"/>
  <c r="G247" i="70"/>
  <c r="I49" i="70"/>
  <c r="B91" i="51"/>
  <c r="E861" i="50"/>
  <c r="F861" i="50"/>
  <c r="F858" i="50"/>
  <c r="G858" i="50" s="1"/>
  <c r="F857" i="50"/>
  <c r="G857" i="50" s="1"/>
  <c r="F856" i="50"/>
  <c r="G856" i="50" s="1"/>
  <c r="F855" i="50"/>
  <c r="G855" i="50" s="1"/>
  <c r="F165" i="69"/>
  <c r="H173" i="69"/>
  <c r="F76" i="2"/>
  <c r="I312" i="70"/>
  <c r="I314" i="70" s="1"/>
  <c r="H172" i="69"/>
  <c r="G861" i="50" l="1"/>
  <c r="G859" i="50"/>
  <c r="F172" i="69" l="1"/>
  <c r="F164" i="69" s="1"/>
  <c r="I319" i="70" l="1"/>
  <c r="I318" i="70" s="1"/>
  <c r="I311" i="70" s="1"/>
  <c r="F75" i="70"/>
  <c r="G73" i="70"/>
  <c r="J73" i="70" s="1"/>
  <c r="F131" i="69" s="1"/>
  <c r="J72" i="70"/>
  <c r="F71" i="70"/>
  <c r="G194" i="70"/>
  <c r="J194" i="70" s="1"/>
  <c r="G193" i="70"/>
  <c r="G192" i="70"/>
  <c r="J192" i="70" s="1"/>
  <c r="G191" i="70"/>
  <c r="J196" i="70"/>
  <c r="J71" i="70" l="1"/>
  <c r="E1754" i="50"/>
  <c r="F1758" i="50"/>
  <c r="D43" i="2"/>
  <c r="J271" i="70" l="1"/>
  <c r="J306" i="70" l="1"/>
  <c r="F122" i="70"/>
  <c r="H121" i="70"/>
  <c r="J121" i="70" s="1"/>
  <c r="F121" i="70"/>
  <c r="J142" i="70"/>
  <c r="J328" i="70"/>
  <c r="J327" i="70"/>
  <c r="J326" i="70" l="1"/>
  <c r="J305" i="70"/>
  <c r="F267" i="69"/>
  <c r="F79" i="70" l="1"/>
  <c r="J79" i="70" s="1"/>
  <c r="F77" i="70"/>
  <c r="J77" i="70" s="1"/>
  <c r="F76" i="70"/>
  <c r="J76" i="70" s="1"/>
  <c r="J75" i="70"/>
  <c r="F250" i="70"/>
  <c r="F252" i="70"/>
  <c r="J247" i="70"/>
  <c r="I244" i="70"/>
  <c r="I243" i="70"/>
  <c r="H62" i="70"/>
  <c r="J62" i="70" s="1"/>
  <c r="F61" i="70"/>
  <c r="J61" i="70" s="1"/>
  <c r="F216" i="70"/>
  <c r="F211" i="70"/>
  <c r="G207" i="70"/>
  <c r="G205" i="70"/>
  <c r="G204" i="70"/>
  <c r="J215" i="70" l="1"/>
  <c r="J216" i="70"/>
  <c r="J60" i="70"/>
  <c r="J74" i="70"/>
  <c r="F132" i="69" s="1"/>
  <c r="F186" i="70"/>
  <c r="F185" i="70"/>
  <c r="F183" i="70"/>
  <c r="F42" i="70"/>
  <c r="B163" i="51"/>
  <c r="B162" i="51"/>
  <c r="F1887" i="50"/>
  <c r="G1887" i="50" s="1"/>
  <c r="G1888" i="50" s="1"/>
  <c r="G1890" i="50"/>
  <c r="F1869" i="50"/>
  <c r="G1869" i="50" s="1"/>
  <c r="G1870" i="50" s="1"/>
  <c r="G1872" i="50"/>
  <c r="F1734" i="50"/>
  <c r="D60" i="2"/>
  <c r="F1730" i="50"/>
  <c r="F1729" i="50"/>
  <c r="F1732" i="50"/>
  <c r="F1731" i="50"/>
  <c r="F1726" i="50"/>
  <c r="J214" i="70" l="1"/>
  <c r="J292" i="70" s="1"/>
  <c r="F207" i="69"/>
  <c r="F208" i="69" s="1"/>
  <c r="F251" i="70"/>
  <c r="J253" i="70"/>
  <c r="J248" i="70"/>
  <c r="F168" i="69"/>
  <c r="F167" i="69"/>
  <c r="H263" i="69"/>
  <c r="H262" i="69"/>
  <c r="H175" i="69"/>
  <c r="H174" i="69"/>
  <c r="H182" i="69"/>
  <c r="I182" i="69" s="1"/>
  <c r="G176" i="69"/>
  <c r="G177" i="69" s="1"/>
  <c r="G178" i="69" s="1"/>
  <c r="G179" i="69" s="1"/>
  <c r="G180" i="69" s="1"/>
  <c r="G181" i="69" s="1"/>
  <c r="I112" i="70"/>
  <c r="I113" i="70" s="1"/>
  <c r="J113" i="70" s="1"/>
  <c r="I111" i="70"/>
  <c r="J111" i="70" s="1"/>
  <c r="J108" i="70"/>
  <c r="I110" i="70"/>
  <c r="J110" i="70" s="1"/>
  <c r="I109" i="70"/>
  <c r="J109" i="70" s="1"/>
  <c r="J112" i="70" l="1"/>
  <c r="F87" i="70"/>
  <c r="H208" i="70"/>
  <c r="J208" i="70" s="1"/>
  <c r="H206" i="70"/>
  <c r="J206" i="70" s="1"/>
  <c r="J322" i="70"/>
  <c r="J321" i="70"/>
  <c r="J323" i="70"/>
  <c r="I316" i="70"/>
  <c r="J316" i="70" s="1"/>
  <c r="I315" i="70"/>
  <c r="J313" i="70"/>
  <c r="F256" i="69" s="1"/>
  <c r="F258" i="69" s="1"/>
  <c r="J319" i="70"/>
  <c r="J317" i="70"/>
  <c r="J320" i="70"/>
  <c r="J161" i="70"/>
  <c r="J160" i="70"/>
  <c r="J318" i="70" l="1"/>
  <c r="J159" i="70"/>
  <c r="J312" i="70"/>
  <c r="J96" i="70"/>
  <c r="F98" i="70"/>
  <c r="J98" i="70" s="1"/>
  <c r="F97" i="70"/>
  <c r="J97" i="70" s="1"/>
  <c r="J95" i="70"/>
  <c r="F93" i="70"/>
  <c r="J92" i="70"/>
  <c r="J89" i="70"/>
  <c r="J88" i="70"/>
  <c r="J91" i="70"/>
  <c r="J90" i="70"/>
  <c r="G87" i="70"/>
  <c r="J87" i="70" s="1"/>
  <c r="F141" i="70"/>
  <c r="J141" i="70" s="1"/>
  <c r="F140" i="70"/>
  <c r="J140" i="70" s="1"/>
  <c r="H139" i="70"/>
  <c r="H138" i="70"/>
  <c r="F138" i="70"/>
  <c r="F139" i="70"/>
  <c r="J137" i="70"/>
  <c r="J136" i="70"/>
  <c r="F135" i="70"/>
  <c r="J135" i="70" s="1"/>
  <c r="I131" i="70"/>
  <c r="M131" i="70"/>
  <c r="G131" i="70"/>
  <c r="I304" i="70"/>
  <c r="I303" i="70"/>
  <c r="H303" i="70"/>
  <c r="H304" i="70" s="1"/>
  <c r="G303" i="70"/>
  <c r="G302" i="70"/>
  <c r="J302" i="70" s="1"/>
  <c r="I301" i="70"/>
  <c r="H301" i="70"/>
  <c r="G301" i="70"/>
  <c r="G300" i="70"/>
  <c r="I299" i="70"/>
  <c r="H299" i="70"/>
  <c r="I298" i="70"/>
  <c r="J298" i="70" s="1"/>
  <c r="H297" i="70"/>
  <c r="F297" i="70"/>
  <c r="J296" i="70"/>
  <c r="J294" i="70"/>
  <c r="J293" i="70" s="1"/>
  <c r="I130" i="70"/>
  <c r="H130" i="70"/>
  <c r="G130" i="70"/>
  <c r="G129" i="70"/>
  <c r="J129" i="70" s="1"/>
  <c r="I128" i="70"/>
  <c r="H128" i="70"/>
  <c r="G128" i="70"/>
  <c r="H127" i="70"/>
  <c r="J127" i="70" s="1"/>
  <c r="I126" i="70"/>
  <c r="I125" i="70"/>
  <c r="J125" i="70" s="1"/>
  <c r="G124" i="70"/>
  <c r="J124" i="70" s="1"/>
  <c r="I123" i="70"/>
  <c r="J123" i="70" s="1"/>
  <c r="H131" i="70"/>
  <c r="J120" i="70"/>
  <c r="J132" i="70" l="1"/>
  <c r="F185" i="69"/>
  <c r="J139" i="70"/>
  <c r="J303" i="70"/>
  <c r="J138" i="70"/>
  <c r="J131" i="70"/>
  <c r="J93" i="70"/>
  <c r="J86" i="70"/>
  <c r="J94" i="70"/>
  <c r="J128" i="70"/>
  <c r="J297" i="70"/>
  <c r="J301" i="70"/>
  <c r="J304" i="70"/>
  <c r="J126" i="70"/>
  <c r="J130" i="70"/>
  <c r="J299" i="70"/>
  <c r="J122" i="70"/>
  <c r="I300" i="70"/>
  <c r="J300" i="70" s="1"/>
  <c r="M191" i="70"/>
  <c r="N56" i="70"/>
  <c r="H51" i="70"/>
  <c r="J51" i="70" s="1"/>
  <c r="E51" i="70"/>
  <c r="O49" i="70"/>
  <c r="N47" i="70"/>
  <c r="M47" i="70"/>
  <c r="N46" i="70"/>
  <c r="M46" i="70"/>
  <c r="N44" i="70"/>
  <c r="N45" i="70"/>
  <c r="N43" i="70"/>
  <c r="N42" i="70"/>
  <c r="N41" i="70"/>
  <c r="N40" i="70"/>
  <c r="N39" i="70"/>
  <c r="F144" i="69" l="1"/>
  <c r="F160" i="69" s="1"/>
  <c r="J143" i="70"/>
  <c r="J134" i="70" s="1"/>
  <c r="J85" i="70"/>
  <c r="O51" i="70"/>
  <c r="O46" i="70"/>
  <c r="O47" i="70"/>
  <c r="O42" i="70"/>
  <c r="I59" i="70"/>
  <c r="F59" i="70"/>
  <c r="F58" i="70"/>
  <c r="J58" i="70" s="1"/>
  <c r="F57" i="70"/>
  <c r="J55" i="70"/>
  <c r="J54" i="70"/>
  <c r="H56" i="70"/>
  <c r="G56" i="70"/>
  <c r="M56" i="70" s="1"/>
  <c r="D56" i="70"/>
  <c r="D55" i="70"/>
  <c r="D54" i="70"/>
  <c r="E56" i="70"/>
  <c r="E55" i="70"/>
  <c r="E54" i="70"/>
  <c r="F45" i="70"/>
  <c r="J45" i="70" s="1"/>
  <c r="F40" i="70"/>
  <c r="O40" i="70" s="1"/>
  <c r="I218" i="70"/>
  <c r="N218" i="70"/>
  <c r="I212" i="70"/>
  <c r="F212" i="70"/>
  <c r="I211" i="70"/>
  <c r="G209" i="70"/>
  <c r="H209" i="70"/>
  <c r="G205" i="69"/>
  <c r="K292" i="70"/>
  <c r="N193" i="70"/>
  <c r="M193" i="70"/>
  <c r="N191" i="70"/>
  <c r="M198" i="70"/>
  <c r="N197" i="70"/>
  <c r="N198" i="70" s="1"/>
  <c r="M197" i="70"/>
  <c r="N195" i="70"/>
  <c r="M195" i="70"/>
  <c r="J213" i="70"/>
  <c r="F206" i="69" s="1"/>
  <c r="J257" i="70"/>
  <c r="G229" i="69"/>
  <c r="J82" i="70"/>
  <c r="F133" i="69" s="1"/>
  <c r="N82" i="70"/>
  <c r="N83" i="70" s="1"/>
  <c r="G206" i="69"/>
  <c r="N184" i="70"/>
  <c r="N188" i="70"/>
  <c r="N189" i="70"/>
  <c r="N187" i="70"/>
  <c r="N186" i="70"/>
  <c r="N185" i="70"/>
  <c r="N183" i="70"/>
  <c r="N182" i="70"/>
  <c r="I285" i="70"/>
  <c r="I284" i="70" s="1"/>
  <c r="J284" i="70" s="1"/>
  <c r="I283" i="70"/>
  <c r="J283" i="70" s="1"/>
  <c r="I282" i="70"/>
  <c r="J282" i="70" s="1"/>
  <c r="J281" i="70"/>
  <c r="I277" i="70"/>
  <c r="J277" i="70" s="1"/>
  <c r="F273" i="70"/>
  <c r="J273" i="70" s="1"/>
  <c r="J276" i="70"/>
  <c r="E265" i="70"/>
  <c r="G270" i="70"/>
  <c r="F270" i="70"/>
  <c r="F269" i="70"/>
  <c r="G268" i="70"/>
  <c r="F268" i="70"/>
  <c r="J272" i="70"/>
  <c r="G267" i="70"/>
  <c r="F267" i="70"/>
  <c r="J265" i="70"/>
  <c r="G263" i="70"/>
  <c r="F263" i="70"/>
  <c r="G264" i="70"/>
  <c r="J264" i="70" s="1"/>
  <c r="J252" i="70"/>
  <c r="J251" i="70"/>
  <c r="J256" i="70"/>
  <c r="J255" i="70"/>
  <c r="J254" i="70"/>
  <c r="O218" i="70" l="1"/>
  <c r="O56" i="70"/>
  <c r="J209" i="70"/>
  <c r="J212" i="70"/>
  <c r="J211" i="70"/>
  <c r="J59" i="70"/>
  <c r="J57" i="70" s="1"/>
  <c r="F125" i="69" s="1"/>
  <c r="J56" i="70"/>
  <c r="J53" i="70" s="1"/>
  <c r="O45" i="70"/>
  <c r="O213" i="70"/>
  <c r="J270" i="70"/>
  <c r="J275" i="70"/>
  <c r="J274" i="70" s="1"/>
  <c r="I286" i="70"/>
  <c r="J286" i="70" s="1"/>
  <c r="J285" i="70"/>
  <c r="J268" i="70"/>
  <c r="G269" i="70"/>
  <c r="J269" i="70" s="1"/>
  <c r="J267" i="70"/>
  <c r="J266" i="70" s="1"/>
  <c r="J263" i="70"/>
  <c r="J262" i="70" s="1"/>
  <c r="J250" i="70"/>
  <c r="J249" i="70" s="1"/>
  <c r="J261" i="70" l="1"/>
  <c r="J308" i="70"/>
  <c r="J210" i="70"/>
  <c r="F205" i="69" s="1"/>
  <c r="F1201" i="50"/>
  <c r="F1200" i="50"/>
  <c r="F1220" i="50"/>
  <c r="F1239" i="50"/>
  <c r="F707" i="50"/>
  <c r="B41" i="51" l="1"/>
  <c r="B40" i="51"/>
  <c r="F345" i="50"/>
  <c r="G345" i="50" s="1"/>
  <c r="F324" i="50"/>
  <c r="F350" i="50" s="1"/>
  <c r="G350" i="50" s="1"/>
  <c r="F323" i="50"/>
  <c r="G323" i="50" s="1"/>
  <c r="F321" i="50"/>
  <c r="F347" i="50" s="1"/>
  <c r="G347" i="50" s="1"/>
  <c r="F320" i="50"/>
  <c r="G320" i="50" s="1"/>
  <c r="F319" i="50"/>
  <c r="G319" i="50" s="1"/>
  <c r="F318" i="50"/>
  <c r="F343" i="50" s="1"/>
  <c r="D196" i="2"/>
  <c r="E343" i="50"/>
  <c r="E318" i="50"/>
  <c r="F220" i="50"/>
  <c r="G220" i="50" s="1"/>
  <c r="F221" i="50"/>
  <c r="G221" i="50" s="1"/>
  <c r="F222" i="50"/>
  <c r="G222" i="50" s="1"/>
  <c r="F223" i="50"/>
  <c r="G223" i="50" s="1"/>
  <c r="F226" i="50"/>
  <c r="G226" i="50" s="1"/>
  <c r="F227" i="50"/>
  <c r="G227" i="50" s="1"/>
  <c r="F228" i="50"/>
  <c r="F229" i="50"/>
  <c r="G229" i="50" s="1"/>
  <c r="F230" i="50"/>
  <c r="G230" i="50" s="1"/>
  <c r="G233" i="50"/>
  <c r="B105" i="51"/>
  <c r="F1104" i="50"/>
  <c r="G1104" i="50" s="1"/>
  <c r="F1105" i="50"/>
  <c r="G1105" i="50" s="1"/>
  <c r="F1101" i="50"/>
  <c r="G1101" i="50" s="1"/>
  <c r="F1100" i="50"/>
  <c r="G1100" i="50" s="1"/>
  <c r="F1099" i="50"/>
  <c r="G1099" i="50" s="1"/>
  <c r="F1098" i="50"/>
  <c r="G1098" i="50" s="1"/>
  <c r="B104" i="51"/>
  <c r="F1084" i="50"/>
  <c r="G1084" i="50" s="1"/>
  <c r="F1086" i="50"/>
  <c r="F1085" i="50"/>
  <c r="F1081" i="50"/>
  <c r="G1081" i="50" s="1"/>
  <c r="F1080" i="50"/>
  <c r="G1080" i="50" s="1"/>
  <c r="F1079" i="50"/>
  <c r="G1079" i="50" s="1"/>
  <c r="F1078" i="50"/>
  <c r="G1078" i="50" s="1"/>
  <c r="B85" i="51"/>
  <c r="G324" i="50" l="1"/>
  <c r="F349" i="50"/>
  <c r="G349" i="50" s="1"/>
  <c r="G228" i="50"/>
  <c r="G231" i="50" s="1"/>
  <c r="G321" i="50"/>
  <c r="G343" i="50"/>
  <c r="F346" i="50"/>
  <c r="G346" i="50" s="1"/>
  <c r="F344" i="50"/>
  <c r="G344" i="50" s="1"/>
  <c r="G318" i="50"/>
  <c r="G224" i="50"/>
  <c r="G1102" i="50"/>
  <c r="G1106" i="50"/>
  <c r="G1082" i="50"/>
  <c r="G1086" i="50"/>
  <c r="G1085" i="50"/>
  <c r="F369" i="50"/>
  <c r="F396" i="50" s="1"/>
  <c r="G396" i="50" s="1"/>
  <c r="A15" i="49"/>
  <c r="G1087" i="50" l="1"/>
  <c r="G1090" i="50" s="1"/>
  <c r="G1091" i="50" s="1"/>
  <c r="G1092" i="50" s="1"/>
  <c r="E104" i="51" s="1"/>
  <c r="G1109" i="50"/>
  <c r="G1110" i="50" s="1"/>
  <c r="G1111" i="50" s="1"/>
  <c r="E105" i="51" s="1"/>
  <c r="G234" i="50"/>
  <c r="G235" i="50" s="1"/>
  <c r="G236" i="50" s="1"/>
  <c r="B16" i="51" l="1"/>
  <c r="B15" i="51"/>
  <c r="F81" i="50"/>
  <c r="G81" i="50" s="1"/>
  <c r="G82" i="50" s="1"/>
  <c r="E86" i="50"/>
  <c r="F78" i="50"/>
  <c r="G78" i="50" s="1"/>
  <c r="F77" i="50"/>
  <c r="G77" i="50" s="1"/>
  <c r="E101" i="50"/>
  <c r="G97" i="50"/>
  <c r="F94" i="50"/>
  <c r="G94" i="50" s="1"/>
  <c r="F93" i="50"/>
  <c r="G93" i="50" s="1"/>
  <c r="B13" i="51"/>
  <c r="B12" i="51"/>
  <c r="B11" i="51"/>
  <c r="B10" i="51"/>
  <c r="E65" i="50"/>
  <c r="G61" i="50"/>
  <c r="F58" i="50"/>
  <c r="G58" i="50" s="1"/>
  <c r="F57" i="50"/>
  <c r="G57" i="50" s="1"/>
  <c r="G79" i="50" l="1"/>
  <c r="G85" i="50" s="1"/>
  <c r="G95" i="50"/>
  <c r="G100" i="50" s="1"/>
  <c r="G101" i="50" s="1"/>
  <c r="G102" i="50" s="1"/>
  <c r="E16" i="51" s="1"/>
  <c r="G59" i="50"/>
  <c r="G64" i="50" s="1"/>
  <c r="G65" i="50" s="1"/>
  <c r="G66" i="50" s="1"/>
  <c r="E13" i="51" s="1"/>
  <c r="G86" i="50" l="1"/>
  <c r="G87" i="50" s="1"/>
  <c r="E15" i="51" s="1"/>
  <c r="F2237" i="50"/>
  <c r="F2257" i="50" s="1"/>
  <c r="E50" i="50"/>
  <c r="G46" i="50"/>
  <c r="F43" i="50"/>
  <c r="G43" i="50" s="1"/>
  <c r="F42" i="50"/>
  <c r="G42" i="50" s="1"/>
  <c r="G2257" i="50" l="1"/>
  <c r="F2285" i="50"/>
  <c r="G2285" i="50" s="1"/>
  <c r="G2237" i="50"/>
  <c r="G44" i="50"/>
  <c r="G49" i="50" s="1"/>
  <c r="G50" i="50" l="1"/>
  <c r="G51" i="50" s="1"/>
  <c r="E12" i="51" s="1"/>
  <c r="E35" i="50"/>
  <c r="G31" i="50"/>
  <c r="F28" i="50"/>
  <c r="G28" i="50" s="1"/>
  <c r="F27" i="50"/>
  <c r="G27" i="50" s="1"/>
  <c r="G29" i="50" l="1"/>
  <c r="G34" i="50" s="1"/>
  <c r="G35" i="50" l="1"/>
  <c r="G36" i="50" s="1"/>
  <c r="E11" i="51" s="1"/>
  <c r="F2299" i="50"/>
  <c r="F2314" i="50" s="1"/>
  <c r="G2314" i="50" s="1"/>
  <c r="F262" i="69"/>
  <c r="F261" i="69"/>
  <c r="F259" i="69"/>
  <c r="K314" i="70"/>
  <c r="K312" i="70"/>
  <c r="F255" i="69"/>
  <c r="F257" i="69" s="1"/>
  <c r="F251" i="69"/>
  <c r="F250" i="69"/>
  <c r="K289" i="70"/>
  <c r="K308" i="70" s="1"/>
  <c r="F244" i="69"/>
  <c r="F243" i="69"/>
  <c r="K284" i="70"/>
  <c r="K286" i="70" s="1"/>
  <c r="K326" i="70" s="1"/>
  <c r="F242" i="69"/>
  <c r="K283" i="70"/>
  <c r="K285" i="70" s="1"/>
  <c r="F241" i="69"/>
  <c r="F240" i="69"/>
  <c r="F239" i="69"/>
  <c r="J246" i="70"/>
  <c r="J245" i="70"/>
  <c r="J244" i="70"/>
  <c r="G242" i="70"/>
  <c r="F242" i="70"/>
  <c r="F243" i="70" s="1"/>
  <c r="J243" i="70" s="1"/>
  <c r="J238" i="70"/>
  <c r="P237" i="70"/>
  <c r="J237" i="70"/>
  <c r="K236" i="70"/>
  <c r="H235" i="70"/>
  <c r="G235" i="70"/>
  <c r="F235" i="70"/>
  <c r="P234" i="70"/>
  <c r="G234" i="70"/>
  <c r="O233" i="70"/>
  <c r="O234" i="70" s="1"/>
  <c r="J233" i="70"/>
  <c r="K228" i="70"/>
  <c r="G227" i="70"/>
  <c r="F227" i="70"/>
  <c r="K214" i="70"/>
  <c r="I202" i="70"/>
  <c r="J202" i="70" s="1"/>
  <c r="D202" i="70"/>
  <c r="I201" i="70"/>
  <c r="D201" i="70"/>
  <c r="H201" i="70"/>
  <c r="G201" i="70"/>
  <c r="D200" i="70"/>
  <c r="J198" i="70"/>
  <c r="G197" i="70"/>
  <c r="E197" i="70"/>
  <c r="D197" i="70"/>
  <c r="E195" i="70"/>
  <c r="E193" i="70"/>
  <c r="E205" i="70" s="1"/>
  <c r="D193" i="70"/>
  <c r="O193" i="70" s="1"/>
  <c r="E191" i="70"/>
  <c r="E204" i="70" s="1"/>
  <c r="D191" i="70"/>
  <c r="O191" i="70" s="1"/>
  <c r="F189" i="70"/>
  <c r="F188" i="70"/>
  <c r="F187" i="70"/>
  <c r="D185" i="70"/>
  <c r="D195" i="70" s="1"/>
  <c r="O195" i="70" s="1"/>
  <c r="F184" i="70"/>
  <c r="F182" i="70"/>
  <c r="K165" i="70"/>
  <c r="K149" i="70"/>
  <c r="K147" i="70"/>
  <c r="K151" i="70" s="1"/>
  <c r="K153" i="70" s="1"/>
  <c r="F161" i="69"/>
  <c r="F159" i="69"/>
  <c r="K116" i="70"/>
  <c r="K111" i="70"/>
  <c r="K113" i="70" s="1"/>
  <c r="K110" i="70"/>
  <c r="K112" i="70" s="1"/>
  <c r="F150" i="69"/>
  <c r="F149" i="69"/>
  <c r="F148" i="69"/>
  <c r="F145" i="69"/>
  <c r="F143" i="69"/>
  <c r="K74" i="70"/>
  <c r="K78" i="70" s="1"/>
  <c r="K82" i="70" s="1"/>
  <c r="K73" i="70"/>
  <c r="K60" i="70"/>
  <c r="F124" i="69"/>
  <c r="K52" i="70"/>
  <c r="I52" i="70"/>
  <c r="H50" i="70"/>
  <c r="J49" i="70"/>
  <c r="J47" i="70"/>
  <c r="F121" i="69" s="1"/>
  <c r="I46" i="70"/>
  <c r="H46" i="70"/>
  <c r="G46" i="70"/>
  <c r="F44" i="70"/>
  <c r="F43" i="70"/>
  <c r="J42" i="70"/>
  <c r="F41" i="70"/>
  <c r="J40" i="70"/>
  <c r="F39" i="70"/>
  <c r="J33" i="70"/>
  <c r="G2299" i="50" l="1"/>
  <c r="F2347" i="50"/>
  <c r="G2347" i="50" s="1"/>
  <c r="J201" i="70"/>
  <c r="F228" i="70"/>
  <c r="J228" i="70" s="1"/>
  <c r="F260" i="69"/>
  <c r="J311" i="70"/>
  <c r="F254" i="69" s="1"/>
  <c r="H52" i="70"/>
  <c r="O52" i="70" s="1"/>
  <c r="O50" i="70"/>
  <c r="F249" i="69"/>
  <c r="J39" i="70"/>
  <c r="O39" i="70"/>
  <c r="J43" i="70"/>
  <c r="O43" i="70"/>
  <c r="J44" i="70"/>
  <c r="O44" i="70"/>
  <c r="J41" i="70"/>
  <c r="O41" i="70"/>
  <c r="F126" i="69"/>
  <c r="F86" i="69" s="1"/>
  <c r="I86" i="69" s="1"/>
  <c r="J118" i="70"/>
  <c r="F158" i="69" s="1"/>
  <c r="O60" i="70"/>
  <c r="O197" i="70"/>
  <c r="O198" i="70"/>
  <c r="J52" i="70"/>
  <c r="F123" i="69" s="1"/>
  <c r="J234" i="70"/>
  <c r="J205" i="70"/>
  <c r="J182" i="70"/>
  <c r="O182" i="70"/>
  <c r="J189" i="70"/>
  <c r="O189" i="70"/>
  <c r="J183" i="70"/>
  <c r="O183" i="70"/>
  <c r="J186" i="70"/>
  <c r="O186" i="70"/>
  <c r="J184" i="70"/>
  <c r="O184" i="70"/>
  <c r="J187" i="70"/>
  <c r="O187" i="70"/>
  <c r="J188" i="70"/>
  <c r="O188" i="70"/>
  <c r="J185" i="70"/>
  <c r="O185" i="70"/>
  <c r="J200" i="70"/>
  <c r="J235" i="70"/>
  <c r="J50" i="70"/>
  <c r="F229" i="70"/>
  <c r="F230" i="70" s="1"/>
  <c r="J191" i="70"/>
  <c r="J197" i="70"/>
  <c r="K313" i="70"/>
  <c r="K315" i="70"/>
  <c r="K316" i="70" s="1"/>
  <c r="J34" i="70"/>
  <c r="F115" i="69"/>
  <c r="P238" i="70"/>
  <c r="J242" i="70"/>
  <c r="J241" i="70" s="1"/>
  <c r="F84" i="69" s="1"/>
  <c r="J46" i="70"/>
  <c r="F190" i="69"/>
  <c r="F189" i="69"/>
  <c r="J193" i="70"/>
  <c r="J195" i="70"/>
  <c r="J204" i="70"/>
  <c r="J207" i="70"/>
  <c r="J227" i="70"/>
  <c r="F83" i="69" s="1"/>
  <c r="I83" i="69" s="1"/>
  <c r="K118" i="70"/>
  <c r="K159" i="70" s="1"/>
  <c r="K134" i="70"/>
  <c r="O237" i="70"/>
  <c r="O238" i="70" s="1"/>
  <c r="K293" i="70"/>
  <c r="K148" i="70"/>
  <c r="K150" i="70"/>
  <c r="K152" i="70" s="1"/>
  <c r="K154" i="70" s="1"/>
  <c r="K119" i="70"/>
  <c r="K291" i="70"/>
  <c r="I84" i="69" l="1"/>
  <c r="I88" i="69" s="1"/>
  <c r="K318" i="70"/>
  <c r="K317" i="70"/>
  <c r="J190" i="70"/>
  <c r="F202" i="69" s="1"/>
  <c r="J203" i="70"/>
  <c r="F204" i="69" s="1"/>
  <c r="J181" i="70"/>
  <c r="J38" i="70"/>
  <c r="F120" i="69" s="1"/>
  <c r="O38" i="70"/>
  <c r="J48" i="70"/>
  <c r="F122" i="69" s="1"/>
  <c r="J232" i="70"/>
  <c r="J199" i="70"/>
  <c r="F203" i="69" s="1"/>
  <c r="F201" i="69"/>
  <c r="J229" i="70"/>
  <c r="F236" i="70"/>
  <c r="J236" i="70" s="1"/>
  <c r="J35" i="70"/>
  <c r="F117" i="69" s="1"/>
  <c r="F116" i="69"/>
  <c r="F231" i="70"/>
  <c r="J231" i="70" s="1"/>
  <c r="J230" i="70"/>
  <c r="I13" i="69" l="1"/>
  <c r="J11" i="76"/>
  <c r="K88" i="69"/>
  <c r="O199" i="70"/>
  <c r="O181" i="70" l="1"/>
  <c r="F773" i="50"/>
  <c r="G773" i="50" s="1"/>
  <c r="F772" i="50"/>
  <c r="G772" i="50" s="1"/>
  <c r="F769" i="50"/>
  <c r="G769" i="50" s="1"/>
  <c r="F768" i="50"/>
  <c r="G768" i="50" s="1"/>
  <c r="F767" i="50"/>
  <c r="G767" i="50" s="1"/>
  <c r="F766" i="50"/>
  <c r="G766" i="50" s="1"/>
  <c r="F727" i="50"/>
  <c r="F247" i="69" l="1"/>
  <c r="G774" i="50"/>
  <c r="G770" i="50"/>
  <c r="G777" i="50" l="1"/>
  <c r="G778" i="50" s="1"/>
  <c r="G779" i="50" s="1"/>
  <c r="E85" i="51" s="1"/>
  <c r="I263" i="69"/>
  <c r="I262" i="69"/>
  <c r="G257" i="69"/>
  <c r="G255" i="69"/>
  <c r="G247" i="69"/>
  <c r="G242" i="69"/>
  <c r="G244" i="69" s="1"/>
  <c r="G241" i="69"/>
  <c r="I223" i="69"/>
  <c r="G222" i="69"/>
  <c r="G218" i="69"/>
  <c r="I217" i="69"/>
  <c r="G189" i="69"/>
  <c r="I172" i="69"/>
  <c r="G167" i="69"/>
  <c r="G165" i="69"/>
  <c r="G168" i="69" s="1"/>
  <c r="G170" i="69" s="1"/>
  <c r="G157" i="69"/>
  <c r="G150" i="69"/>
  <c r="G152" i="69" s="1"/>
  <c r="G115" i="69"/>
  <c r="I108" i="69"/>
  <c r="I107" i="69"/>
  <c r="I105" i="69"/>
  <c r="I103" i="69"/>
  <c r="F99" i="69"/>
  <c r="F100" i="69" s="1"/>
  <c r="F101" i="69" s="1"/>
  <c r="F98" i="69"/>
  <c r="I96" i="69"/>
  <c r="I94" i="69"/>
  <c r="I92" i="69"/>
  <c r="G249" i="69" l="1"/>
  <c r="G248" i="69"/>
  <c r="G173" i="69"/>
  <c r="G172" i="69"/>
  <c r="G243" i="69"/>
  <c r="G267" i="69"/>
  <c r="G159" i="69"/>
  <c r="G160" i="69" s="1"/>
  <c r="G158" i="69"/>
  <c r="I98" i="69"/>
  <c r="I175" i="69"/>
  <c r="I218" i="69"/>
  <c r="I97" i="69"/>
  <c r="I111" i="69" s="1"/>
  <c r="I173" i="69"/>
  <c r="I174" i="69"/>
  <c r="I79" i="69"/>
  <c r="I99" i="69"/>
  <c r="I224" i="69"/>
  <c r="G258" i="69"/>
  <c r="G259" i="69" s="1"/>
  <c r="I101" i="69"/>
  <c r="I100" i="69"/>
  <c r="G161" i="69"/>
  <c r="G166" i="69"/>
  <c r="G169" i="69"/>
  <c r="G171" i="69" s="1"/>
  <c r="G251" i="69"/>
  <c r="G250" i="69"/>
  <c r="G256" i="69"/>
  <c r="F1570" i="50"/>
  <c r="I80" i="69" l="1"/>
  <c r="G261" i="69"/>
  <c r="G260" i="69"/>
  <c r="B151" i="51"/>
  <c r="F1686" i="50"/>
  <c r="G1686" i="50" s="1"/>
  <c r="F1683" i="50"/>
  <c r="G1683" i="50" s="1"/>
  <c r="F1682" i="50"/>
  <c r="G1682" i="50" s="1"/>
  <c r="F1681" i="50"/>
  <c r="G1681" i="50" s="1"/>
  <c r="F1680" i="50"/>
  <c r="G1680" i="50" s="1"/>
  <c r="D280" i="2"/>
  <c r="B147" i="51"/>
  <c r="F1609" i="50"/>
  <c r="G1609" i="50" s="1"/>
  <c r="G1610" i="50" s="1"/>
  <c r="G1613" i="50"/>
  <c r="B228" i="2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F511" i="50"/>
  <c r="I17" i="69" l="1"/>
  <c r="J12" i="76"/>
  <c r="I11" i="69"/>
  <c r="J10" i="76"/>
  <c r="K80" i="69"/>
  <c r="K111" i="69"/>
  <c r="G1684" i="50"/>
  <c r="B213" i="2" l="1"/>
  <c r="D173" i="2"/>
  <c r="D174" i="2" s="1"/>
  <c r="F2193" i="50"/>
  <c r="G2193" i="50" s="1"/>
  <c r="F2194" i="50"/>
  <c r="G2194" i="50" s="1"/>
  <c r="G2196" i="50" l="1"/>
  <c r="B188" i="2" l="1"/>
  <c r="B189" i="2" s="1"/>
  <c r="B190" i="2" s="1"/>
  <c r="B191" i="2" s="1"/>
  <c r="F1486" i="50"/>
  <c r="F374" i="50"/>
  <c r="E122" i="50"/>
  <c r="E19" i="50"/>
  <c r="B192" i="2" l="1"/>
  <c r="B194" i="2" s="1"/>
  <c r="B195" i="2" s="1"/>
  <c r="B197" i="2" s="1"/>
  <c r="B198" i="2" s="1"/>
  <c r="B199" i="2" s="1"/>
  <c r="B200" i="2" s="1"/>
  <c r="B193" i="2"/>
  <c r="B67" i="51"/>
  <c r="F551" i="50"/>
  <c r="G551" i="50" s="1"/>
  <c r="F548" i="50"/>
  <c r="G548" i="50" s="1"/>
  <c r="F547" i="50"/>
  <c r="G547" i="50" s="1"/>
  <c r="F546" i="50"/>
  <c r="G546" i="50" s="1"/>
  <c r="F545" i="50"/>
  <c r="G545" i="50" s="1"/>
  <c r="B186" i="51"/>
  <c r="D263" i="2"/>
  <c r="E2179" i="50"/>
  <c r="G549" i="50" l="1"/>
  <c r="F1628" i="50"/>
  <c r="B243" i="2" l="1"/>
  <c r="B244" i="2" s="1"/>
  <c r="B245" i="2" s="1"/>
  <c r="B246" i="2" s="1"/>
  <c r="B247" i="2" s="1"/>
  <c r="B178" i="2"/>
  <c r="B179" i="2" s="1"/>
  <c r="B180" i="2" s="1"/>
  <c r="B181" i="2" s="1"/>
  <c r="B140" i="2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267" i="2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152" i="2" l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F1590" i="50"/>
  <c r="F200" i="50" l="1"/>
  <c r="G200" i="50" s="1"/>
  <c r="F201" i="50"/>
  <c r="G201" i="50" s="1"/>
  <c r="F202" i="50"/>
  <c r="G202" i="50" s="1"/>
  <c r="F203" i="50"/>
  <c r="G203" i="50" s="1"/>
  <c r="G1628" i="50"/>
  <c r="B184" i="51" l="1"/>
  <c r="B82" i="51" l="1"/>
  <c r="B83" i="51"/>
  <c r="B84" i="51"/>
  <c r="B87" i="51"/>
  <c r="B88" i="51"/>
  <c r="B89" i="51"/>
  <c r="B90" i="51"/>
  <c r="B92" i="51"/>
  <c r="B93" i="51"/>
  <c r="B94" i="51"/>
  <c r="B95" i="51"/>
  <c r="B96" i="51"/>
  <c r="B98" i="51"/>
  <c r="B99" i="51"/>
  <c r="B100" i="51"/>
  <c r="B101" i="51"/>
  <c r="B102" i="51"/>
  <c r="B103" i="51"/>
  <c r="B107" i="51"/>
  <c r="B108" i="51"/>
  <c r="B109" i="51"/>
  <c r="B111" i="51"/>
  <c r="B112" i="51"/>
  <c r="B114" i="51"/>
  <c r="B115" i="51"/>
  <c r="B116" i="51"/>
  <c r="B117" i="51"/>
  <c r="B119" i="51"/>
  <c r="B120" i="51"/>
  <c r="B121" i="51"/>
  <c r="B122" i="51"/>
  <c r="B124" i="51"/>
  <c r="B125" i="51"/>
  <c r="B126" i="51"/>
  <c r="B127" i="51"/>
  <c r="B128" i="51"/>
  <c r="B129" i="51"/>
  <c r="B130" i="51"/>
  <c r="B131" i="51"/>
  <c r="B137" i="51"/>
  <c r="B138" i="51"/>
  <c r="B139" i="51"/>
  <c r="B140" i="51"/>
  <c r="H883" i="50"/>
  <c r="H884" i="50"/>
  <c r="I1005" i="50"/>
  <c r="I1006" i="50" s="1"/>
  <c r="I1040" i="50"/>
  <c r="B36" i="2"/>
  <c r="F1315" i="50" l="1"/>
  <c r="B45" i="51" l="1"/>
  <c r="G369" i="50" l="1"/>
  <c r="F371" i="50"/>
  <c r="G371" i="50" s="1"/>
  <c r="F370" i="50"/>
  <c r="F366" i="50"/>
  <c r="F365" i="50"/>
  <c r="F364" i="50"/>
  <c r="B156" i="51"/>
  <c r="G1762" i="50"/>
  <c r="B165" i="51"/>
  <c r="B154" i="51"/>
  <c r="B143" i="51"/>
  <c r="B142" i="51"/>
  <c r="F1526" i="50"/>
  <c r="G366" i="50" l="1"/>
  <c r="F393" i="50"/>
  <c r="G393" i="50" s="1"/>
  <c r="G364" i="50"/>
  <c r="F391" i="50"/>
  <c r="G391" i="50" s="1"/>
  <c r="G370" i="50"/>
  <c r="G372" i="50" s="1"/>
  <c r="F397" i="50"/>
  <c r="G397" i="50" s="1"/>
  <c r="G365" i="50"/>
  <c r="F392" i="50"/>
  <c r="G392" i="50" s="1"/>
  <c r="F1373" i="50"/>
  <c r="G1373" i="50" s="1"/>
  <c r="G1377" i="50"/>
  <c r="F570" i="50"/>
  <c r="F1061" i="50"/>
  <c r="G1061" i="50" s="1"/>
  <c r="G1066" i="50"/>
  <c r="G394" i="50" l="1"/>
  <c r="G367" i="50"/>
  <c r="G1374" i="50"/>
  <c r="F1831" i="50" l="1"/>
  <c r="G1831" i="50" s="1"/>
  <c r="F1813" i="50"/>
  <c r="G1813" i="50" s="1"/>
  <c r="F1777" i="50"/>
  <c r="G1777" i="50" s="1"/>
  <c r="B161" i="51"/>
  <c r="B160" i="51"/>
  <c r="B159" i="51"/>
  <c r="B158" i="51"/>
  <c r="B157" i="51"/>
  <c r="F1851" i="50"/>
  <c r="G1851" i="50" s="1"/>
  <c r="F1795" i="50"/>
  <c r="G1795" i="50" s="1"/>
  <c r="G1854" i="50"/>
  <c r="G1834" i="50"/>
  <c r="G1816" i="50"/>
  <c r="G1798" i="50"/>
  <c r="G1780" i="50"/>
  <c r="B169" i="51"/>
  <c r="B168" i="51"/>
  <c r="B167" i="51"/>
  <c r="B166" i="51"/>
  <c r="F1923" i="50"/>
  <c r="F1942" i="50" s="1"/>
  <c r="G1942" i="50" s="1"/>
  <c r="F1979" i="50"/>
  <c r="G1979" i="50" s="1"/>
  <c r="F1960" i="50"/>
  <c r="G1960" i="50" s="1"/>
  <c r="F1941" i="50"/>
  <c r="G1941" i="50" s="1"/>
  <c r="F1922" i="50"/>
  <c r="G1922" i="50" s="1"/>
  <c r="E1985" i="50"/>
  <c r="G1983" i="50"/>
  <c r="G1964" i="50"/>
  <c r="G1945" i="50"/>
  <c r="G1926" i="50"/>
  <c r="G1832" i="50" l="1"/>
  <c r="G1852" i="50"/>
  <c r="G1814" i="50"/>
  <c r="G1923" i="50"/>
  <c r="G1796" i="50"/>
  <c r="G1778" i="50"/>
  <c r="F1961" i="50"/>
  <c r="G1943" i="50"/>
  <c r="G1924" i="50" l="1"/>
  <c r="G1961" i="50"/>
  <c r="F1980" i="50"/>
  <c r="G1980" i="50" s="1"/>
  <c r="G1981" i="50" l="1"/>
  <c r="G1962" i="50"/>
  <c r="D77" i="2" l="1"/>
  <c r="D78" i="2" s="1"/>
  <c r="D79" i="2" s="1"/>
  <c r="F628" i="50" l="1"/>
  <c r="B155" i="51" l="1"/>
  <c r="F1728" i="50"/>
  <c r="G1737" i="50"/>
  <c r="F1727" i="50"/>
  <c r="F1733" i="50"/>
  <c r="F1725" i="50"/>
  <c r="G1731" i="50"/>
  <c r="G1726" i="50" l="1"/>
  <c r="F1754" i="50"/>
  <c r="G1754" i="50" s="1"/>
  <c r="G1729" i="50"/>
  <c r="F1757" i="50"/>
  <c r="G1757" i="50" s="1"/>
  <c r="G1727" i="50"/>
  <c r="F1755" i="50"/>
  <c r="G1755" i="50" s="1"/>
  <c r="G1734" i="50"/>
  <c r="G1725" i="50"/>
  <c r="F1753" i="50"/>
  <c r="G1753" i="50" s="1"/>
  <c r="G1730" i="50"/>
  <c r="G1732" i="50"/>
  <c r="G1758" i="50"/>
  <c r="G1733" i="50"/>
  <c r="F1759" i="50"/>
  <c r="G1759" i="50" s="1"/>
  <c r="G1728" i="50"/>
  <c r="F1756" i="50"/>
  <c r="G1756" i="50" s="1"/>
  <c r="G1735" i="50" l="1"/>
  <c r="G1760" i="50"/>
  <c r="B146" i="51" l="1"/>
  <c r="G1590" i="50"/>
  <c r="G1594" i="50"/>
  <c r="B152" i="51"/>
  <c r="B150" i="51"/>
  <c r="B149" i="51"/>
  <c r="B148" i="51"/>
  <c r="B145" i="51"/>
  <c r="B144" i="51"/>
  <c r="F1705" i="50"/>
  <c r="F1667" i="50"/>
  <c r="G1667" i="50" s="1"/>
  <c r="F1661" i="50"/>
  <c r="G1661" i="50" s="1"/>
  <c r="F1648" i="50"/>
  <c r="F1668" i="50" s="1"/>
  <c r="F1687" i="50" s="1"/>
  <c r="G1687" i="50" s="1"/>
  <c r="G1688" i="50" s="1"/>
  <c r="G1691" i="50" s="1"/>
  <c r="G1692" i="50" s="1"/>
  <c r="G1693" i="50" s="1"/>
  <c r="E151" i="51" s="1"/>
  <c r="F1647" i="50"/>
  <c r="F1571" i="50"/>
  <c r="F1569" i="50"/>
  <c r="F1548" i="50"/>
  <c r="F1525" i="50"/>
  <c r="H180" i="69" l="1"/>
  <c r="I180" i="69" s="1"/>
  <c r="G1591" i="50"/>
  <c r="F1706" i="50"/>
  <c r="G1706" i="50" s="1"/>
  <c r="G1668" i="50"/>
  <c r="G1526" i="50"/>
  <c r="G1525" i="50"/>
  <c r="F1699" i="50"/>
  <c r="F1641" i="50"/>
  <c r="G1641" i="50" s="1"/>
  <c r="F1622" i="50"/>
  <c r="G1622" i="50" s="1"/>
  <c r="F1563" i="50"/>
  <c r="F1542" i="50"/>
  <c r="G1542" i="50" s="1"/>
  <c r="F1519" i="50"/>
  <c r="G1519" i="50" s="1"/>
  <c r="G1705" i="50"/>
  <c r="G1652" i="50"/>
  <c r="G1648" i="50"/>
  <c r="G1647" i="50"/>
  <c r="G1632" i="50"/>
  <c r="G1575" i="50"/>
  <c r="G1571" i="50"/>
  <c r="G1570" i="50"/>
  <c r="G1569" i="50"/>
  <c r="G1554" i="50"/>
  <c r="G1548" i="50"/>
  <c r="G1530" i="50"/>
  <c r="G1563" i="50" l="1"/>
  <c r="F1584" i="50"/>
  <c r="G1699" i="50"/>
  <c r="F1719" i="50"/>
  <c r="G1669" i="50"/>
  <c r="G1707" i="50"/>
  <c r="G1649" i="50"/>
  <c r="G1629" i="50"/>
  <c r="G1572" i="50"/>
  <c r="G1527" i="50"/>
  <c r="F1603" i="50" l="1"/>
  <c r="G1603" i="50" s="1"/>
  <c r="G1584" i="50"/>
  <c r="F1771" i="50"/>
  <c r="G1771" i="50" s="1"/>
  <c r="F1747" i="50"/>
  <c r="G1747" i="50" s="1"/>
  <c r="G1719" i="50"/>
  <c r="F1916" i="50"/>
  <c r="F1789" i="50" l="1"/>
  <c r="G1789" i="50" s="1"/>
  <c r="G1916" i="50"/>
  <c r="F1935" i="50"/>
  <c r="F1807" i="50" l="1"/>
  <c r="F1825" i="50" s="1"/>
  <c r="F1954" i="50"/>
  <c r="F2031" i="50" s="1"/>
  <c r="F2139" i="50" s="1"/>
  <c r="F2187" i="50" s="1"/>
  <c r="G1935" i="50"/>
  <c r="G2187" i="50" l="1"/>
  <c r="G2191" i="50" s="1"/>
  <c r="G2199" i="50" s="1"/>
  <c r="G2200" i="50" s="1"/>
  <c r="G2201" i="50" s="1"/>
  <c r="G2202" i="50" s="1"/>
  <c r="E184" i="51" s="1"/>
  <c r="F2210" i="50"/>
  <c r="G2031" i="50"/>
  <c r="F2061" i="50"/>
  <c r="G2061" i="50" s="1"/>
  <c r="G1807" i="50"/>
  <c r="G1825" i="50"/>
  <c r="F1845" i="50"/>
  <c r="G1954" i="50"/>
  <c r="F1973" i="50"/>
  <c r="F1992" i="50" s="1"/>
  <c r="G2210" i="50" l="1"/>
  <c r="G2214" i="50" s="1"/>
  <c r="G2222" i="50" s="1"/>
  <c r="G2223" i="50" s="1"/>
  <c r="G2224" i="50" s="1"/>
  <c r="G2225" i="50" s="1"/>
  <c r="E186" i="51" s="1"/>
  <c r="H219" i="69" s="1"/>
  <c r="F2231" i="50"/>
  <c r="G2119" i="50"/>
  <c r="G2123" i="50" s="1"/>
  <c r="G2131" i="50" s="1"/>
  <c r="G2132" i="50" s="1"/>
  <c r="G2133" i="50" s="1"/>
  <c r="F2011" i="50"/>
  <c r="G2011" i="50" s="1"/>
  <c r="G1992" i="50"/>
  <c r="G1845" i="50"/>
  <c r="F1863" i="50"/>
  <c r="G1973" i="50"/>
  <c r="F1055" i="50"/>
  <c r="G1055" i="50" s="1"/>
  <c r="B182" i="51"/>
  <c r="G2172" i="50"/>
  <c r="G2171" i="50"/>
  <c r="G2170" i="50"/>
  <c r="G2169" i="50"/>
  <c r="G2168" i="50"/>
  <c r="G2167" i="50"/>
  <c r="G2166" i="50"/>
  <c r="G2165" i="50"/>
  <c r="G2164" i="50"/>
  <c r="G2161" i="50"/>
  <c r="G2160" i="50"/>
  <c r="I219" i="69" l="1"/>
  <c r="H220" i="69"/>
  <c r="I220" i="69" s="1"/>
  <c r="G2231" i="50"/>
  <c r="F2251" i="50"/>
  <c r="G1863" i="50"/>
  <c r="F1881" i="50"/>
  <c r="G1881" i="50" s="1"/>
  <c r="G2162" i="50"/>
  <c r="G2173" i="50"/>
  <c r="G2251" i="50" l="1"/>
  <c r="F2279" i="50"/>
  <c r="G2279" i="50" s="1"/>
  <c r="G2178" i="50"/>
  <c r="G2179" i="50" s="1"/>
  <c r="G2180" i="50" l="1"/>
  <c r="G2181" i="50" s="1"/>
  <c r="E182" i="51" s="1"/>
  <c r="H264" i="69" s="1"/>
  <c r="I264" i="69" s="1"/>
  <c r="B180" i="51" l="1"/>
  <c r="F2145" i="50"/>
  <c r="G2145" i="50" s="1"/>
  <c r="F2148" i="50"/>
  <c r="G2148" i="50" s="1"/>
  <c r="F2146" i="50"/>
  <c r="G2146" i="50" l="1"/>
  <c r="F2371" i="50"/>
  <c r="G2371" i="50" s="1"/>
  <c r="F1019" i="50" l="1"/>
  <c r="I1019" i="50" s="1"/>
  <c r="F1021" i="50"/>
  <c r="G1021" i="50" s="1"/>
  <c r="F1020" i="50"/>
  <c r="G1020" i="50" s="1"/>
  <c r="F1013" i="50"/>
  <c r="G1013" i="50" s="1"/>
  <c r="G1200" i="50"/>
  <c r="G1201" i="50"/>
  <c r="F1195" i="50"/>
  <c r="G1195" i="50" s="1"/>
  <c r="E25" i="5"/>
  <c r="G1019" i="50" l="1"/>
  <c r="G1202" i="50"/>
  <c r="F1243" i="50" l="1"/>
  <c r="G1243" i="50" s="1"/>
  <c r="F1241" i="50"/>
  <c r="G1241" i="50" s="1"/>
  <c r="G1239" i="50"/>
  <c r="F1233" i="50"/>
  <c r="G1233" i="50" s="1"/>
  <c r="G1244" i="50" l="1"/>
  <c r="F1337" i="50" l="1"/>
  <c r="F998" i="50" l="1"/>
  <c r="I998" i="50" s="1"/>
  <c r="E1125" i="50"/>
  <c r="E1043" i="50"/>
  <c r="E1042" i="50"/>
  <c r="E1041" i="50"/>
  <c r="E1040" i="50"/>
  <c r="E1037" i="50"/>
  <c r="E1036" i="50"/>
  <c r="E1035" i="50"/>
  <c r="E1034" i="50"/>
  <c r="F1180" i="50"/>
  <c r="F884" i="50"/>
  <c r="E1022" i="50" l="1"/>
  <c r="E1016" i="50"/>
  <c r="F1040" i="50"/>
  <c r="F1125" i="50"/>
  <c r="F589" i="50"/>
  <c r="G24" i="65"/>
  <c r="M21" i="65"/>
  <c r="G18" i="65"/>
  <c r="R16" i="65"/>
  <c r="G19" i="65" s="1"/>
  <c r="R19" i="65" s="1"/>
  <c r="G21" i="65" s="1"/>
  <c r="R21" i="65" s="1"/>
  <c r="G15" i="65"/>
  <c r="R13" i="65"/>
  <c r="F2147" i="50" l="1"/>
  <c r="G2147" i="50" s="1"/>
  <c r="G2149" i="50" s="1"/>
  <c r="F1022" i="50"/>
  <c r="G1022" i="50" s="1"/>
  <c r="G1023" i="50" l="1"/>
  <c r="E707" i="50"/>
  <c r="F1917" i="50"/>
  <c r="F1720" i="50"/>
  <c r="F1748" i="50" s="1"/>
  <c r="G1748" i="50" s="1"/>
  <c r="F1310" i="50"/>
  <c r="F1014" i="50" l="1"/>
  <c r="G1014" i="50" s="1"/>
  <c r="F1662" i="50"/>
  <c r="G1662" i="50" s="1"/>
  <c r="F1700" i="50"/>
  <c r="G1700" i="50" s="1"/>
  <c r="F1642" i="50"/>
  <c r="G1642" i="50" s="1"/>
  <c r="F1623" i="50"/>
  <c r="G1623" i="50" s="1"/>
  <c r="F1564" i="50"/>
  <c r="F1543" i="50"/>
  <c r="G1543" i="50" s="1"/>
  <c r="F1520" i="50"/>
  <c r="G1520" i="50" s="1"/>
  <c r="F1664" i="50"/>
  <c r="G1664" i="50" s="1"/>
  <c r="F1702" i="50"/>
  <c r="F1644" i="50"/>
  <c r="G1644" i="50" s="1"/>
  <c r="F1625" i="50"/>
  <c r="G1625" i="50" s="1"/>
  <c r="F1566" i="50"/>
  <c r="F1545" i="50"/>
  <c r="G1545" i="50" s="1"/>
  <c r="F1522" i="50"/>
  <c r="G1522" i="50" s="1"/>
  <c r="F1234" i="50"/>
  <c r="G1234" i="50" s="1"/>
  <c r="F1056" i="50"/>
  <c r="G1056" i="50" s="1"/>
  <c r="F1772" i="50"/>
  <c r="G1720" i="50"/>
  <c r="F1663" i="50"/>
  <c r="G1663" i="50" s="1"/>
  <c r="F1701" i="50"/>
  <c r="F1643" i="50"/>
  <c r="G1643" i="50" s="1"/>
  <c r="F1624" i="50"/>
  <c r="G1624" i="50" s="1"/>
  <c r="F1565" i="50"/>
  <c r="F1544" i="50"/>
  <c r="G1544" i="50" s="1"/>
  <c r="F1521" i="50"/>
  <c r="G1521" i="50" s="1"/>
  <c r="F1936" i="50"/>
  <c r="G1917" i="50"/>
  <c r="F1235" i="50"/>
  <c r="G1235" i="50" s="1"/>
  <c r="F1015" i="50"/>
  <c r="G1015" i="50" s="1"/>
  <c r="F1236" i="50"/>
  <c r="G1236" i="50" s="1"/>
  <c r="F1016" i="50"/>
  <c r="G1016" i="50" s="1"/>
  <c r="G1315" i="50"/>
  <c r="G1321" i="50"/>
  <c r="G1317" i="50"/>
  <c r="G1316" i="50"/>
  <c r="G1310" i="50"/>
  <c r="G1565" i="50" l="1"/>
  <c r="F1586" i="50"/>
  <c r="G1564" i="50"/>
  <c r="F1585" i="50"/>
  <c r="G1566" i="50"/>
  <c r="G1567" i="50" s="1"/>
  <c r="G1576" i="50" s="1"/>
  <c r="F1587" i="50"/>
  <c r="G1772" i="50"/>
  <c r="F1790" i="50"/>
  <c r="G1645" i="50"/>
  <c r="G1653" i="50" s="1"/>
  <c r="G1701" i="50"/>
  <c r="F1721" i="50"/>
  <c r="F1749" i="50" s="1"/>
  <c r="G1749" i="50" s="1"/>
  <c r="G1702" i="50"/>
  <c r="F1722" i="50"/>
  <c r="F1750" i="50" s="1"/>
  <c r="G1750" i="50" s="1"/>
  <c r="G1546" i="50"/>
  <c r="G1936" i="50"/>
  <c r="F1955" i="50"/>
  <c r="F2032" i="50" s="1"/>
  <c r="F2140" i="50" s="1"/>
  <c r="G1665" i="50"/>
  <c r="G1672" i="50" s="1"/>
  <c r="G1673" i="50" s="1"/>
  <c r="G1674" i="50" s="1"/>
  <c r="E150" i="51" s="1"/>
  <c r="G1523" i="50"/>
  <c r="G1531" i="50" s="1"/>
  <c r="G1626" i="50"/>
  <c r="G1633" i="50" s="1"/>
  <c r="G1237" i="50"/>
  <c r="G1247" i="50" s="1"/>
  <c r="G1248" i="50" s="1"/>
  <c r="G1249" i="50" s="1"/>
  <c r="E117" i="51" s="1"/>
  <c r="H123" i="69" s="1"/>
  <c r="I123" i="69" s="1"/>
  <c r="G1017" i="50"/>
  <c r="G1026" i="50" s="1"/>
  <c r="G1027" i="50" s="1"/>
  <c r="G1028" i="50" s="1"/>
  <c r="G1318" i="50"/>
  <c r="F1606" i="50" l="1"/>
  <c r="G1606" i="50" s="1"/>
  <c r="G1587" i="50"/>
  <c r="F1604" i="50"/>
  <c r="G1604" i="50" s="1"/>
  <c r="G1585" i="50"/>
  <c r="F1605" i="50"/>
  <c r="G1605" i="50" s="1"/>
  <c r="G1586" i="50"/>
  <c r="G2232" i="50"/>
  <c r="F2252" i="50"/>
  <c r="G2032" i="50"/>
  <c r="F2062" i="50"/>
  <c r="G2062" i="50" s="1"/>
  <c r="E101" i="51"/>
  <c r="H132" i="69" s="1"/>
  <c r="H131" i="69" s="1"/>
  <c r="G1751" i="50"/>
  <c r="G1763" i="50" s="1"/>
  <c r="G1764" i="50" s="1"/>
  <c r="G1765" i="50" s="1"/>
  <c r="E156" i="51" s="1"/>
  <c r="H255" i="69" s="1"/>
  <c r="H165" i="69" s="1"/>
  <c r="G1532" i="50"/>
  <c r="G1533" i="50" s="1"/>
  <c r="E143" i="51" s="1"/>
  <c r="F1974" i="50"/>
  <c r="G1955" i="50"/>
  <c r="G1577" i="50"/>
  <c r="G1578" i="50" s="1"/>
  <c r="E145" i="51" s="1"/>
  <c r="G1703" i="50"/>
  <c r="G1710" i="50" s="1"/>
  <c r="G1711" i="50" s="1"/>
  <c r="G1712" i="50" s="1"/>
  <c r="E152" i="51" s="1"/>
  <c r="H177" i="69" s="1"/>
  <c r="I177" i="69" s="1"/>
  <c r="F1774" i="50"/>
  <c r="F1919" i="50"/>
  <c r="G1722" i="50"/>
  <c r="F1773" i="50"/>
  <c r="F1918" i="50"/>
  <c r="G1721" i="50"/>
  <c r="G1790" i="50"/>
  <c r="F1808" i="50"/>
  <c r="G1634" i="50"/>
  <c r="G1635" i="50" s="1"/>
  <c r="E148" i="51" s="1"/>
  <c r="H181" i="69" s="1"/>
  <c r="I181" i="69" s="1"/>
  <c r="G1654" i="50"/>
  <c r="G1655" i="50" s="1"/>
  <c r="E149" i="51" s="1"/>
  <c r="H178" i="69" s="1"/>
  <c r="I178" i="69" s="1"/>
  <c r="G1588" i="50" l="1"/>
  <c r="G1595" i="50" s="1"/>
  <c r="G1607" i="50"/>
  <c r="G1614" i="50" s="1"/>
  <c r="G2252" i="50"/>
  <c r="F2280" i="50"/>
  <c r="G2280" i="50" s="1"/>
  <c r="G1974" i="50"/>
  <c r="F1993" i="50"/>
  <c r="I165" i="69"/>
  <c r="H166" i="69"/>
  <c r="I166" i="69" s="1"/>
  <c r="I132" i="69"/>
  <c r="H176" i="69"/>
  <c r="I176" i="69" s="1"/>
  <c r="H256" i="69"/>
  <c r="I256" i="69" s="1"/>
  <c r="I255" i="69"/>
  <c r="G1773" i="50"/>
  <c r="F1791" i="50"/>
  <c r="F1826" i="50"/>
  <c r="G1808" i="50"/>
  <c r="G1723" i="50"/>
  <c r="G1738" i="50" s="1"/>
  <c r="F1938" i="50"/>
  <c r="G1919" i="50"/>
  <c r="G1918" i="50"/>
  <c r="F1937" i="50"/>
  <c r="G1774" i="50"/>
  <c r="F1792" i="50"/>
  <c r="G1615" i="50" l="1"/>
  <c r="G1616" i="50" s="1"/>
  <c r="E147" i="51" s="1"/>
  <c r="G1596" i="50"/>
  <c r="G1597" i="50" s="1"/>
  <c r="E146" i="51" s="1"/>
  <c r="H179" i="69" s="1"/>
  <c r="I179" i="69" s="1"/>
  <c r="F2012" i="50"/>
  <c r="G2012" i="50" s="1"/>
  <c r="G1993" i="50"/>
  <c r="G1739" i="50"/>
  <c r="G1740" i="50" s="1"/>
  <c r="E155" i="51" s="1"/>
  <c r="H254" i="69" s="1"/>
  <c r="F2353" i="50"/>
  <c r="F2384" i="50" s="1"/>
  <c r="G2384" i="50" s="1"/>
  <c r="I131" i="69"/>
  <c r="G1920" i="50"/>
  <c r="G1927" i="50" s="1"/>
  <c r="G1928" i="50" s="1"/>
  <c r="G1929" i="50" s="1"/>
  <c r="E166" i="51" s="1"/>
  <c r="G1791" i="50"/>
  <c r="F1809" i="50"/>
  <c r="F1810" i="50"/>
  <c r="G1792" i="50"/>
  <c r="G1775" i="50"/>
  <c r="G1781" i="50" s="1"/>
  <c r="G1782" i="50" s="1"/>
  <c r="G1783" i="50" s="1"/>
  <c r="E157" i="51" s="1"/>
  <c r="H169" i="69" s="1"/>
  <c r="I169" i="69" s="1"/>
  <c r="F1956" i="50"/>
  <c r="F2033" i="50" s="1"/>
  <c r="F2141" i="50" s="1"/>
  <c r="G1937" i="50"/>
  <c r="F1957" i="50"/>
  <c r="F2034" i="50" s="1"/>
  <c r="F2142" i="50" s="1"/>
  <c r="G1938" i="50"/>
  <c r="G1826" i="50"/>
  <c r="F1846" i="50"/>
  <c r="G2233" i="50" l="1"/>
  <c r="G2234" i="50" s="1"/>
  <c r="F2253" i="50"/>
  <c r="G2387" i="50"/>
  <c r="G2388" i="50" s="1"/>
  <c r="G2389" i="50" s="1"/>
  <c r="E200" i="51" s="1"/>
  <c r="G2353" i="50"/>
  <c r="F2064" i="50"/>
  <c r="G2064" i="50" s="1"/>
  <c r="G2034" i="50"/>
  <c r="F2063" i="50"/>
  <c r="G2063" i="50" s="1"/>
  <c r="G2033" i="50"/>
  <c r="I254" i="69"/>
  <c r="H164" i="69"/>
  <c r="I164" i="69" s="1"/>
  <c r="G1846" i="50"/>
  <c r="F1864" i="50"/>
  <c r="F1976" i="50"/>
  <c r="F1995" i="50" s="1"/>
  <c r="G1957" i="50"/>
  <c r="G1810" i="50"/>
  <c r="F1828" i="50"/>
  <c r="G1939" i="50"/>
  <c r="G1946" i="50" s="1"/>
  <c r="G1947" i="50" s="1"/>
  <c r="G1948" i="50" s="1"/>
  <c r="E167" i="51" s="1"/>
  <c r="F1827" i="50"/>
  <c r="G1809" i="50"/>
  <c r="F1975" i="50"/>
  <c r="F1994" i="50" s="1"/>
  <c r="G1956" i="50"/>
  <c r="G1793" i="50"/>
  <c r="G1799" i="50" s="1"/>
  <c r="G1800" i="50" s="1"/>
  <c r="G1801" i="50" s="1"/>
  <c r="G2253" i="50" l="1"/>
  <c r="G2254" i="50" s="1"/>
  <c r="F2281" i="50"/>
  <c r="G2281" i="50" s="1"/>
  <c r="G2282" i="50" s="1"/>
  <c r="F2014" i="50"/>
  <c r="G2014" i="50" s="1"/>
  <c r="G1995" i="50"/>
  <c r="G2035" i="50"/>
  <c r="G2043" i="50" s="1"/>
  <c r="G2044" i="50" s="1"/>
  <c r="G2045" i="50" s="1"/>
  <c r="E172" i="51" s="1"/>
  <c r="F2013" i="50"/>
  <c r="G2013" i="50" s="1"/>
  <c r="G1994" i="50"/>
  <c r="G2065" i="50"/>
  <c r="G2073" i="50" s="1"/>
  <c r="F2305" i="50" s="1"/>
  <c r="G1864" i="50"/>
  <c r="F1882" i="50"/>
  <c r="G1882" i="50" s="1"/>
  <c r="G1958" i="50"/>
  <c r="G1965" i="50" s="1"/>
  <c r="G1966" i="50" s="1"/>
  <c r="G1967" i="50" s="1"/>
  <c r="E168" i="51" s="1"/>
  <c r="G1811" i="50"/>
  <c r="G1817" i="50" s="1"/>
  <c r="G1818" i="50" s="1"/>
  <c r="G1819" i="50" s="1"/>
  <c r="E159" i="51" s="1"/>
  <c r="H257" i="69" s="1"/>
  <c r="G1975" i="50"/>
  <c r="F1057" i="50"/>
  <c r="G1057" i="50" s="1"/>
  <c r="F1847" i="50"/>
  <c r="G1827" i="50"/>
  <c r="E158" i="51"/>
  <c r="F1848" i="50"/>
  <c r="G1828" i="50"/>
  <c r="F1058" i="50"/>
  <c r="G1058" i="50" s="1"/>
  <c r="G1976" i="50"/>
  <c r="F2304" i="50" l="1"/>
  <c r="G2304" i="50" s="1"/>
  <c r="G2015" i="50"/>
  <c r="G2023" i="50" s="1"/>
  <c r="G2024" i="50" s="1"/>
  <c r="G2025" i="50" s="1"/>
  <c r="E171" i="51" s="1"/>
  <c r="G2074" i="50"/>
  <c r="G2075" i="50" s="1"/>
  <c r="E173" i="51" s="1"/>
  <c r="G1996" i="50"/>
  <c r="G2003" i="50" s="1"/>
  <c r="G2305" i="50"/>
  <c r="H259" i="69"/>
  <c r="I259" i="69" s="1"/>
  <c r="H170" i="69"/>
  <c r="I170" i="69" s="1"/>
  <c r="I257" i="69"/>
  <c r="H167" i="69"/>
  <c r="I167" i="69" s="1"/>
  <c r="G1848" i="50"/>
  <c r="F1866" i="50"/>
  <c r="G1847" i="50"/>
  <c r="F1865" i="50"/>
  <c r="G1977" i="50"/>
  <c r="G1984" i="50" s="1"/>
  <c r="G1985" i="50" s="1"/>
  <c r="G1986" i="50" s="1"/>
  <c r="G1829" i="50"/>
  <c r="G1835" i="50" s="1"/>
  <c r="G1059" i="50"/>
  <c r="E169" i="51" l="1"/>
  <c r="G2318" i="50"/>
  <c r="F2303" i="50"/>
  <c r="G2303" i="50" s="1"/>
  <c r="G2004" i="50"/>
  <c r="G2005" i="50" s="1"/>
  <c r="E170" i="51" s="1"/>
  <c r="F2351" i="50"/>
  <c r="G2351" i="50" s="1"/>
  <c r="G1849" i="50"/>
  <c r="G1855" i="50" s="1"/>
  <c r="G1856" i="50" s="1"/>
  <c r="G1857" i="50" s="1"/>
  <c r="E161" i="51" s="1"/>
  <c r="H258" i="69" s="1"/>
  <c r="I258" i="69" s="1"/>
  <c r="G1866" i="50"/>
  <c r="F1884" i="50"/>
  <c r="G1884" i="50" s="1"/>
  <c r="F1883" i="50"/>
  <c r="G1883" i="50" s="1"/>
  <c r="G1865" i="50"/>
  <c r="G1836" i="50"/>
  <c r="G1837" i="50" s="1"/>
  <c r="E160" i="51" s="1"/>
  <c r="F2352" i="50" l="1"/>
  <c r="G2352" i="50" s="1"/>
  <c r="H168" i="69"/>
  <c r="I168" i="69" s="1"/>
  <c r="G1867" i="50"/>
  <c r="G1873" i="50" s="1"/>
  <c r="G1874" i="50" s="1"/>
  <c r="G1875" i="50" s="1"/>
  <c r="E162" i="51" s="1"/>
  <c r="H261" i="69" s="1"/>
  <c r="I261" i="69" s="1"/>
  <c r="G1885" i="50"/>
  <c r="G1891" i="50" s="1"/>
  <c r="G1892" i="50" s="1"/>
  <c r="G1893" i="50" s="1"/>
  <c r="E163" i="51" s="1"/>
  <c r="H260" i="69" s="1"/>
  <c r="I260" i="69" s="1"/>
  <c r="I265" i="69" l="1"/>
  <c r="J31" i="76" s="1"/>
  <c r="H171" i="69"/>
  <c r="I171" i="69" s="1"/>
  <c r="I183" i="69" s="1"/>
  <c r="J20" i="76" s="1"/>
  <c r="B178" i="51" l="1"/>
  <c r="B176" i="51"/>
  <c r="B175" i="51"/>
  <c r="G2355" i="50"/>
  <c r="E176" i="51" l="1"/>
  <c r="E178" i="51"/>
  <c r="F1263" i="50" l="1"/>
  <c r="F1262" i="50" l="1"/>
  <c r="F1505" i="50" l="1"/>
  <c r="G1505" i="50" s="1"/>
  <c r="F1502" i="50"/>
  <c r="G1502" i="50" s="1"/>
  <c r="F1501" i="50"/>
  <c r="G1501" i="50" s="1"/>
  <c r="F1500" i="50"/>
  <c r="G1500" i="50" s="1"/>
  <c r="F1499" i="50"/>
  <c r="G1499" i="50" s="1"/>
  <c r="G1486" i="50"/>
  <c r="F1483" i="50"/>
  <c r="G1483" i="50" s="1"/>
  <c r="F1482" i="50"/>
  <c r="G1482" i="50" s="1"/>
  <c r="F1481" i="50"/>
  <c r="G1481" i="50" s="1"/>
  <c r="F1480" i="50"/>
  <c r="G1480" i="50" s="1"/>
  <c r="F1468" i="50"/>
  <c r="G1468" i="50" s="1"/>
  <c r="F1467" i="50"/>
  <c r="G1467" i="50" s="1"/>
  <c r="F1464" i="50"/>
  <c r="G1464" i="50" s="1"/>
  <c r="F1463" i="50"/>
  <c r="G1463" i="50" s="1"/>
  <c r="F1462" i="50"/>
  <c r="G1462" i="50" s="1"/>
  <c r="F1461" i="50"/>
  <c r="G1461" i="50" s="1"/>
  <c r="F1446" i="50"/>
  <c r="G1446" i="50" s="1"/>
  <c r="F1443" i="50"/>
  <c r="G1443" i="50" s="1"/>
  <c r="F1442" i="50"/>
  <c r="G1442" i="50" s="1"/>
  <c r="F1441" i="50"/>
  <c r="G1441" i="50" s="1"/>
  <c r="F1440" i="50"/>
  <c r="G1440" i="50" s="1"/>
  <c r="F1428" i="50"/>
  <c r="G1428" i="50" s="1"/>
  <c r="F1425" i="50"/>
  <c r="G1425" i="50" s="1"/>
  <c r="F1424" i="50"/>
  <c r="G1424" i="50" s="1"/>
  <c r="F1423" i="50"/>
  <c r="G1423" i="50" s="1"/>
  <c r="F1422" i="50"/>
  <c r="G1422" i="50" s="1"/>
  <c r="F1392" i="50"/>
  <c r="F1487" i="50" l="1"/>
  <c r="G1487" i="50" s="1"/>
  <c r="G1503" i="50"/>
  <c r="G1484" i="50"/>
  <c r="G1469" i="50"/>
  <c r="G1465" i="50"/>
  <c r="G1447" i="50"/>
  <c r="G1444" i="50"/>
  <c r="G1429" i="50"/>
  <c r="G1426" i="50"/>
  <c r="G1488" i="50" l="1"/>
  <c r="G1491" i="50" s="1"/>
  <c r="G1492" i="50" s="1"/>
  <c r="G1493" i="50" s="1"/>
  <c r="E139" i="51" s="1"/>
  <c r="F1506" i="50"/>
  <c r="G1506" i="50" s="1"/>
  <c r="G1472" i="50"/>
  <c r="G1473" i="50" s="1"/>
  <c r="G1474" i="50" s="1"/>
  <c r="E138" i="51" s="1"/>
  <c r="G1450" i="50"/>
  <c r="G1451" i="50" s="1"/>
  <c r="G1452" i="50" s="1"/>
  <c r="E131" i="51" s="1"/>
  <c r="H244" i="69" s="1"/>
  <c r="G1432" i="50"/>
  <c r="G1433" i="50" s="1"/>
  <c r="G1434" i="50" s="1"/>
  <c r="E130" i="51" s="1"/>
  <c r="H242" i="69" s="1"/>
  <c r="I244" i="69" l="1"/>
  <c r="H153" i="69"/>
  <c r="I153" i="69" s="1"/>
  <c r="I242" i="69"/>
  <c r="H151" i="69"/>
  <c r="I151" i="69" s="1"/>
  <c r="H124" i="69"/>
  <c r="G1507" i="50"/>
  <c r="G1510" i="50" s="1"/>
  <c r="G1511" i="50" s="1"/>
  <c r="G1512" i="50" s="1"/>
  <c r="E140" i="51" s="1"/>
  <c r="I124" i="69" l="1"/>
  <c r="H204" i="69"/>
  <c r="I204" i="69" s="1"/>
  <c r="F1410" i="50"/>
  <c r="G1410" i="50" s="1"/>
  <c r="F1407" i="50"/>
  <c r="G1407" i="50" s="1"/>
  <c r="F1406" i="50"/>
  <c r="G1406" i="50" s="1"/>
  <c r="F1405" i="50"/>
  <c r="G1405" i="50" s="1"/>
  <c r="F1404" i="50"/>
  <c r="G1404" i="50" s="1"/>
  <c r="G1392" i="50"/>
  <c r="F1389" i="50"/>
  <c r="G1389" i="50" s="1"/>
  <c r="F1388" i="50"/>
  <c r="G1388" i="50" s="1"/>
  <c r="F1387" i="50"/>
  <c r="G1387" i="50" s="1"/>
  <c r="F1386" i="50"/>
  <c r="G1386" i="50" s="1"/>
  <c r="F1355" i="50"/>
  <c r="G1355" i="50" s="1"/>
  <c r="F1352" i="50"/>
  <c r="F1351" i="50"/>
  <c r="F1350" i="50"/>
  <c r="F1349" i="50"/>
  <c r="G1337" i="50"/>
  <c r="F1334" i="50"/>
  <c r="G1334" i="50" s="1"/>
  <c r="F1333" i="50"/>
  <c r="G1333" i="50" s="1"/>
  <c r="F1332" i="50"/>
  <c r="G1332" i="50" s="1"/>
  <c r="F1331" i="50"/>
  <c r="G1331" i="50" s="1"/>
  <c r="F1282" i="50"/>
  <c r="F1284" i="50"/>
  <c r="G1284" i="50" s="1"/>
  <c r="F1279" i="50"/>
  <c r="F1278" i="50"/>
  <c r="F1277" i="50"/>
  <c r="G1277" i="50" s="1"/>
  <c r="F1276" i="50"/>
  <c r="F1264" i="50"/>
  <c r="G1264" i="50" s="1"/>
  <c r="G1263" i="50"/>
  <c r="F1259" i="50"/>
  <c r="G1259" i="50" s="1"/>
  <c r="F1258" i="50"/>
  <c r="G1258" i="50" s="1"/>
  <c r="F1257" i="50"/>
  <c r="G1257" i="50" s="1"/>
  <c r="F1256" i="50"/>
  <c r="G1256" i="50" s="1"/>
  <c r="G1276" i="50" l="1"/>
  <c r="F1309" i="50"/>
  <c r="G1309" i="50" s="1"/>
  <c r="G1278" i="50"/>
  <c r="F1311" i="50"/>
  <c r="G1311" i="50" s="1"/>
  <c r="G1279" i="50"/>
  <c r="F1312" i="50"/>
  <c r="G1312" i="50" s="1"/>
  <c r="G1350" i="50"/>
  <c r="F1368" i="50"/>
  <c r="G1368" i="50" s="1"/>
  <c r="G1352" i="50"/>
  <c r="F1370" i="50"/>
  <c r="G1370" i="50" s="1"/>
  <c r="G1349" i="50"/>
  <c r="F1367" i="50"/>
  <c r="G1367" i="50" s="1"/>
  <c r="G1351" i="50"/>
  <c r="F1369" i="50"/>
  <c r="G1369" i="50" s="1"/>
  <c r="G1282" i="50"/>
  <c r="F1283" i="50"/>
  <c r="G1411" i="50"/>
  <c r="G1262" i="50"/>
  <c r="G1265" i="50" s="1"/>
  <c r="G1408" i="50"/>
  <c r="G1390" i="50"/>
  <c r="G1393" i="50"/>
  <c r="G1356" i="50"/>
  <c r="G1338" i="50"/>
  <c r="G1335" i="50"/>
  <c r="G1260" i="50"/>
  <c r="G1280" i="50" l="1"/>
  <c r="G1313" i="50"/>
  <c r="G1322" i="50" s="1"/>
  <c r="G1323" i="50" s="1"/>
  <c r="G1353" i="50"/>
  <c r="G1359" i="50" s="1"/>
  <c r="G1360" i="50" s="1"/>
  <c r="G1361" i="50" s="1"/>
  <c r="E126" i="51" s="1"/>
  <c r="G1371" i="50"/>
  <c r="G1378" i="50" s="1"/>
  <c r="G1283" i="50"/>
  <c r="G1414" i="50"/>
  <c r="G1415" i="50" s="1"/>
  <c r="G1416" i="50" s="1"/>
  <c r="E129" i="51" s="1"/>
  <c r="H243" i="69" s="1"/>
  <c r="G1396" i="50"/>
  <c r="G1397" i="50" s="1"/>
  <c r="G1398" i="50" s="1"/>
  <c r="E128" i="51" s="1"/>
  <c r="G1268" i="50"/>
  <c r="G1269" i="50" s="1"/>
  <c r="G1270" i="50" s="1"/>
  <c r="E120" i="51" s="1"/>
  <c r="G1341" i="50"/>
  <c r="G1342" i="50" s="1"/>
  <c r="G1343" i="50" s="1"/>
  <c r="E125" i="51" s="1"/>
  <c r="I243" i="69" l="1"/>
  <c r="H152" i="69"/>
  <c r="I152" i="69" s="1"/>
  <c r="H241" i="69"/>
  <c r="I241" i="69" s="1"/>
  <c r="H150" i="69"/>
  <c r="I150" i="69" s="1"/>
  <c r="H240" i="69"/>
  <c r="I240" i="69" s="1"/>
  <c r="H149" i="69"/>
  <c r="I149" i="69" s="1"/>
  <c r="H239" i="69"/>
  <c r="I239" i="69" s="1"/>
  <c r="H148" i="69"/>
  <c r="I148" i="69" s="1"/>
  <c r="G1285" i="50"/>
  <c r="G1288" i="50" s="1"/>
  <c r="G1289" i="50" s="1"/>
  <c r="G1290" i="50" s="1"/>
  <c r="E121" i="51" s="1"/>
  <c r="H120" i="69" s="1"/>
  <c r="H201" i="69" s="1"/>
  <c r="I201" i="69" s="1"/>
  <c r="G1324" i="50"/>
  <c r="G1379" i="50"/>
  <c r="G1380" i="50" s="1"/>
  <c r="I245" i="69" l="1"/>
  <c r="J29" i="76" s="1"/>
  <c r="I154" i="69"/>
  <c r="J18" i="76" s="1"/>
  <c r="I120" i="69"/>
  <c r="E127" i="51"/>
  <c r="E122" i="51"/>
  <c r="F1221" i="50" l="1"/>
  <c r="G1221" i="50" s="1"/>
  <c r="G1220" i="50"/>
  <c r="F1217" i="50"/>
  <c r="G1217" i="50" s="1"/>
  <c r="F1216" i="50"/>
  <c r="G1216" i="50" s="1"/>
  <c r="F1215" i="50"/>
  <c r="G1215" i="50" s="1"/>
  <c r="F1214" i="50"/>
  <c r="G1214" i="50" s="1"/>
  <c r="G1180" i="50"/>
  <c r="F667" i="50"/>
  <c r="F1177" i="50"/>
  <c r="G1177" i="50" s="1"/>
  <c r="F1176" i="50"/>
  <c r="G1176" i="50" s="1"/>
  <c r="F1175" i="50"/>
  <c r="G1175" i="50" s="1"/>
  <c r="F1174" i="50"/>
  <c r="G1174" i="50" s="1"/>
  <c r="F1161" i="50"/>
  <c r="G1161" i="50" s="1"/>
  <c r="F1160" i="50"/>
  <c r="G1160" i="50" s="1"/>
  <c r="F649" i="50"/>
  <c r="F648" i="50"/>
  <c r="G1162" i="50"/>
  <c r="F1155" i="50"/>
  <c r="G1155" i="50" s="1"/>
  <c r="F1157" i="50"/>
  <c r="F1156" i="50"/>
  <c r="F1154" i="50"/>
  <c r="F1181" i="50" l="1"/>
  <c r="G1181" i="50" s="1"/>
  <c r="G1154" i="50"/>
  <c r="F1194" i="50"/>
  <c r="G1194" i="50" s="1"/>
  <c r="G1157" i="50"/>
  <c r="F1197" i="50"/>
  <c r="G1197" i="50" s="1"/>
  <c r="G1156" i="50"/>
  <c r="F1196" i="50"/>
  <c r="G1196" i="50" s="1"/>
  <c r="G1222" i="50"/>
  <c r="G1218" i="50"/>
  <c r="G1178" i="50"/>
  <c r="G1163" i="50"/>
  <c r="G1182" i="50" l="1"/>
  <c r="G1185" i="50" s="1"/>
  <c r="G1186" i="50" s="1"/>
  <c r="G1187" i="50" s="1"/>
  <c r="E112" i="51" s="1"/>
  <c r="H207" i="69" s="1"/>
  <c r="G1198" i="50"/>
  <c r="G1206" i="50" s="1"/>
  <c r="G1207" i="50" s="1"/>
  <c r="G1208" i="50" s="1"/>
  <c r="G1158" i="50"/>
  <c r="G1166" i="50" s="1"/>
  <c r="G1167" i="50" s="1"/>
  <c r="G1168" i="50" s="1"/>
  <c r="E175" i="51"/>
  <c r="F2301" i="50" s="1"/>
  <c r="F2316" i="50" s="1"/>
  <c r="G1225" i="50"/>
  <c r="G1226" i="50" s="1"/>
  <c r="G1227" i="50" s="1"/>
  <c r="E116" i="51" s="1"/>
  <c r="H122" i="69" s="1"/>
  <c r="H203" i="69" l="1"/>
  <c r="I203" i="69" s="1"/>
  <c r="I122" i="69"/>
  <c r="G2301" i="50"/>
  <c r="F2349" i="50"/>
  <c r="E115" i="51"/>
  <c r="H202" i="69" l="1"/>
  <c r="H121" i="69"/>
  <c r="I202" i="69" l="1"/>
  <c r="I121" i="69"/>
  <c r="G1125" i="50" l="1"/>
  <c r="F1127" i="50"/>
  <c r="G1127" i="50" s="1"/>
  <c r="F1126" i="50"/>
  <c r="G1126" i="50" s="1"/>
  <c r="F1122" i="50"/>
  <c r="G1122" i="50" s="1"/>
  <c r="F1121" i="50"/>
  <c r="G1121" i="50" s="1"/>
  <c r="F1120" i="50"/>
  <c r="G1120" i="50" s="1"/>
  <c r="F1119" i="50"/>
  <c r="G1119" i="50" s="1"/>
  <c r="G1123" i="50" l="1"/>
  <c r="G1128" i="50"/>
  <c r="G1131" i="50" l="1"/>
  <c r="G1132" i="50" s="1"/>
  <c r="G1133" i="50" s="1"/>
  <c r="E109" i="51" s="1"/>
  <c r="F1043" i="50" l="1"/>
  <c r="G1043" i="50" s="1"/>
  <c r="F1042" i="50"/>
  <c r="G1042" i="50" s="1"/>
  <c r="F1041" i="50"/>
  <c r="G1041" i="50" s="1"/>
  <c r="F1037" i="50"/>
  <c r="G1037" i="50" s="1"/>
  <c r="F1036" i="50"/>
  <c r="G1036" i="50" s="1"/>
  <c r="F1035" i="50"/>
  <c r="G1035" i="50" s="1"/>
  <c r="F1034" i="50"/>
  <c r="G1034" i="50" s="1"/>
  <c r="F1000" i="50"/>
  <c r="G1000" i="50" s="1"/>
  <c r="F999" i="50"/>
  <c r="G999" i="50" s="1"/>
  <c r="F1001" i="50"/>
  <c r="G1001" i="50" s="1"/>
  <c r="F993" i="50"/>
  <c r="G993" i="50" s="1"/>
  <c r="F995" i="50"/>
  <c r="G995" i="50" s="1"/>
  <c r="F994" i="50"/>
  <c r="G994" i="50" s="1"/>
  <c r="F992" i="50"/>
  <c r="G992" i="50" s="1"/>
  <c r="G998" i="50" l="1"/>
  <c r="G1040" i="50"/>
  <c r="G1038" i="50"/>
  <c r="G996" i="50"/>
  <c r="G1002" i="50" l="1"/>
  <c r="G1005" i="50" s="1"/>
  <c r="G1006" i="50" s="1"/>
  <c r="G1007" i="50" s="1"/>
  <c r="E100" i="51" s="1"/>
  <c r="G1044" i="50"/>
  <c r="G1047" i="50" s="1"/>
  <c r="G1048" i="50" s="1"/>
  <c r="G1049" i="50" s="1"/>
  <c r="E102" i="51" s="1"/>
  <c r="H228" i="69" l="1"/>
  <c r="H227" i="69"/>
  <c r="H129" i="69" s="1"/>
  <c r="I129" i="69" s="1"/>
  <c r="F967" i="50"/>
  <c r="G967" i="50" s="1"/>
  <c r="F966" i="50"/>
  <c r="G966" i="50" s="1"/>
  <c r="F965" i="50"/>
  <c r="G965" i="50" s="1"/>
  <c r="F964" i="50"/>
  <c r="G884" i="50"/>
  <c r="F948" i="50"/>
  <c r="G948" i="50" s="1"/>
  <c r="F947" i="50"/>
  <c r="G947" i="50" s="1"/>
  <c r="F946" i="50"/>
  <c r="G946" i="50" s="1"/>
  <c r="F945" i="50"/>
  <c r="G945" i="50" s="1"/>
  <c r="F929" i="50"/>
  <c r="G929" i="50" s="1"/>
  <c r="F928" i="50"/>
  <c r="G928" i="50" s="1"/>
  <c r="F927" i="50"/>
  <c r="G927" i="50" s="1"/>
  <c r="F926" i="50"/>
  <c r="G926" i="50" s="1"/>
  <c r="F914" i="50"/>
  <c r="G914" i="50" s="1"/>
  <c r="F910" i="50"/>
  <c r="G910" i="50" s="1"/>
  <c r="F909" i="50"/>
  <c r="G909" i="50" s="1"/>
  <c r="F908" i="50"/>
  <c r="G908" i="50" s="1"/>
  <c r="F907" i="50"/>
  <c r="G907" i="50" s="1"/>
  <c r="F883" i="50"/>
  <c r="F913" i="50" s="1"/>
  <c r="F880" i="50"/>
  <c r="G880" i="50" s="1"/>
  <c r="F879" i="50"/>
  <c r="G879" i="50" s="1"/>
  <c r="F878" i="50"/>
  <c r="G878" i="50" s="1"/>
  <c r="F877" i="50"/>
  <c r="G877" i="50" s="1"/>
  <c r="F842" i="50"/>
  <c r="F862" i="50" s="1"/>
  <c r="G862" i="50" s="1"/>
  <c r="F838" i="50"/>
  <c r="G838" i="50" s="1"/>
  <c r="F837" i="50"/>
  <c r="G837" i="50" s="1"/>
  <c r="F836" i="50"/>
  <c r="G836" i="50" s="1"/>
  <c r="F835" i="50"/>
  <c r="G835" i="50" s="1"/>
  <c r="F813" i="50"/>
  <c r="G813" i="50" s="1"/>
  <c r="F812" i="50"/>
  <c r="G812" i="50" s="1"/>
  <c r="F811" i="50"/>
  <c r="G811" i="50" s="1"/>
  <c r="F810" i="50"/>
  <c r="G810" i="50" s="1"/>
  <c r="F795" i="50"/>
  <c r="F819" i="50" s="1"/>
  <c r="G819" i="50" s="1"/>
  <c r="F798" i="50"/>
  <c r="F822" i="50" s="1"/>
  <c r="F797" i="50"/>
  <c r="F821" i="50" s="1"/>
  <c r="G821" i="50" s="1"/>
  <c r="I228" i="69" l="1"/>
  <c r="H130" i="69"/>
  <c r="I130" i="69" s="1"/>
  <c r="I227" i="69"/>
  <c r="K227" i="69"/>
  <c r="G964" i="50"/>
  <c r="G968" i="50" s="1"/>
  <c r="F932" i="50"/>
  <c r="F970" i="50" s="1"/>
  <c r="G970" i="50" s="1"/>
  <c r="G883" i="50"/>
  <c r="F952" i="50"/>
  <c r="F951" i="50"/>
  <c r="G913" i="50"/>
  <c r="F933" i="50"/>
  <c r="G930" i="50"/>
  <c r="G949" i="50"/>
  <c r="G911" i="50"/>
  <c r="G881" i="50"/>
  <c r="F843" i="50"/>
  <c r="G822" i="50"/>
  <c r="G839" i="50"/>
  <c r="G814" i="50"/>
  <c r="G843" i="50" l="1"/>
  <c r="F863" i="50"/>
  <c r="G863" i="50" s="1"/>
  <c r="G864" i="50" s="1"/>
  <c r="G867" i="50" s="1"/>
  <c r="G868" i="50" s="1"/>
  <c r="G869" i="50" s="1"/>
  <c r="E91" i="51" s="1"/>
  <c r="H156" i="69" s="1"/>
  <c r="H247" i="69" s="1"/>
  <c r="G885" i="50"/>
  <c r="G888" i="50" s="1"/>
  <c r="G889" i="50" s="1"/>
  <c r="G890" i="50" s="1"/>
  <c r="E92" i="51" s="1"/>
  <c r="G915" i="50"/>
  <c r="G918" i="50" s="1"/>
  <c r="G919" i="50" s="1"/>
  <c r="G920" i="50" s="1"/>
  <c r="E93" i="51" s="1"/>
  <c r="G932" i="50"/>
  <c r="G951" i="50"/>
  <c r="G952" i="50"/>
  <c r="G933" i="50"/>
  <c r="F971" i="50"/>
  <c r="G971" i="50" s="1"/>
  <c r="H249" i="69" l="1"/>
  <c r="I249" i="69" s="1"/>
  <c r="G953" i="50"/>
  <c r="G956" i="50" s="1"/>
  <c r="G957" i="50" s="1"/>
  <c r="G958" i="50" s="1"/>
  <c r="E95" i="51" s="1"/>
  <c r="H161" i="69" s="1"/>
  <c r="I161" i="69" s="1"/>
  <c r="G934" i="50"/>
  <c r="G937" i="50" s="1"/>
  <c r="G938" i="50" s="1"/>
  <c r="G939" i="50" s="1"/>
  <c r="E94" i="51" s="1"/>
  <c r="G972" i="50"/>
  <c r="G975" i="50" s="1"/>
  <c r="G976" i="50" s="1"/>
  <c r="G977" i="50" s="1"/>
  <c r="E96" i="51" s="1"/>
  <c r="H250" i="69" l="1"/>
  <c r="I250" i="69" s="1"/>
  <c r="H159" i="69"/>
  <c r="I159" i="69" s="1"/>
  <c r="H251" i="69"/>
  <c r="I251" i="69" s="1"/>
  <c r="H158" i="69"/>
  <c r="I158" i="69" s="1"/>
  <c r="H160" i="69"/>
  <c r="I160" i="69" s="1"/>
  <c r="F796" i="50"/>
  <c r="G795" i="50"/>
  <c r="F794" i="50"/>
  <c r="F818" i="50" s="1"/>
  <c r="G818" i="50" s="1"/>
  <c r="F793" i="50"/>
  <c r="F817" i="50" s="1"/>
  <c r="F792" i="50"/>
  <c r="G797" i="50"/>
  <c r="F787" i="50"/>
  <c r="G787" i="50" s="1"/>
  <c r="G798" i="50"/>
  <c r="F789" i="50"/>
  <c r="G789" i="50" s="1"/>
  <c r="F788" i="50"/>
  <c r="G788" i="50" s="1"/>
  <c r="F786" i="50"/>
  <c r="G786" i="50" s="1"/>
  <c r="G794" i="50" l="1"/>
  <c r="G842" i="50"/>
  <c r="G817" i="50"/>
  <c r="G792" i="50"/>
  <c r="F816" i="50"/>
  <c r="G796" i="50"/>
  <c r="F820" i="50"/>
  <c r="G820" i="50" s="1"/>
  <c r="G793" i="50"/>
  <c r="G790" i="50"/>
  <c r="B80" i="51"/>
  <c r="B79" i="51"/>
  <c r="B77" i="51"/>
  <c r="B75" i="51"/>
  <c r="B74" i="51"/>
  <c r="B73" i="51"/>
  <c r="B71" i="51"/>
  <c r="B70" i="51"/>
  <c r="B69" i="51"/>
  <c r="B68" i="51"/>
  <c r="B66" i="51"/>
  <c r="B65" i="51"/>
  <c r="B57" i="51"/>
  <c r="B56" i="51"/>
  <c r="B54" i="51"/>
  <c r="B53" i="51"/>
  <c r="F745" i="50"/>
  <c r="G745" i="50" s="1"/>
  <c r="F742" i="50"/>
  <c r="G742" i="50" s="1"/>
  <c r="F741" i="50"/>
  <c r="G741" i="50" s="1"/>
  <c r="F740" i="50"/>
  <c r="G740" i="50" s="1"/>
  <c r="F739" i="50"/>
  <c r="G739" i="50" s="1"/>
  <c r="G727" i="50"/>
  <c r="F726" i="50"/>
  <c r="G726" i="50" s="1"/>
  <c r="F723" i="50"/>
  <c r="G723" i="50" s="1"/>
  <c r="F722" i="50"/>
  <c r="G722" i="50" s="1"/>
  <c r="F721" i="50"/>
  <c r="G721" i="50" s="1"/>
  <c r="F720" i="50"/>
  <c r="G720" i="50" s="1"/>
  <c r="G707" i="50"/>
  <c r="F704" i="50"/>
  <c r="G704" i="50" s="1"/>
  <c r="F706" i="50"/>
  <c r="G706" i="50" s="1"/>
  <c r="F705" i="50"/>
  <c r="G705" i="50" s="1"/>
  <c r="F701" i="50"/>
  <c r="G701" i="50" s="1"/>
  <c r="F700" i="50"/>
  <c r="G700" i="50" s="1"/>
  <c r="F699" i="50"/>
  <c r="G699" i="50" s="1"/>
  <c r="F698" i="50"/>
  <c r="G698" i="50" s="1"/>
  <c r="G799" i="50" l="1"/>
  <c r="G802" i="50" s="1"/>
  <c r="G803" i="50" s="1"/>
  <c r="G804" i="50" s="1"/>
  <c r="E88" i="51" s="1"/>
  <c r="G816" i="50"/>
  <c r="G841" i="50"/>
  <c r="G746" i="50"/>
  <c r="G743" i="50"/>
  <c r="G728" i="50"/>
  <c r="G724" i="50"/>
  <c r="G702" i="50"/>
  <c r="G708" i="50"/>
  <c r="G667" i="50"/>
  <c r="F664" i="50"/>
  <c r="G664" i="50" s="1"/>
  <c r="F663" i="50"/>
  <c r="G663" i="50" s="1"/>
  <c r="F662" i="50"/>
  <c r="G662" i="50" s="1"/>
  <c r="F661" i="50"/>
  <c r="G661" i="50" s="1"/>
  <c r="G649" i="50"/>
  <c r="G648" i="50"/>
  <c r="F643" i="50"/>
  <c r="G643" i="50" s="1"/>
  <c r="F645" i="50"/>
  <c r="G645" i="50" s="1"/>
  <c r="F644" i="50"/>
  <c r="G644" i="50" s="1"/>
  <c r="F642" i="50"/>
  <c r="G642" i="50" s="1"/>
  <c r="G628" i="50"/>
  <c r="F625" i="50"/>
  <c r="G625" i="50" s="1"/>
  <c r="F624" i="50"/>
  <c r="G624" i="50" s="1"/>
  <c r="F623" i="50"/>
  <c r="G623" i="50" s="1"/>
  <c r="F622" i="50"/>
  <c r="G622" i="50" s="1"/>
  <c r="F608" i="50"/>
  <c r="G608" i="50" s="1"/>
  <c r="F605" i="50"/>
  <c r="G605" i="50" s="1"/>
  <c r="F604" i="50"/>
  <c r="G604" i="50" s="1"/>
  <c r="F603" i="50"/>
  <c r="G603" i="50" s="1"/>
  <c r="F602" i="50"/>
  <c r="G602" i="50" s="1"/>
  <c r="G589" i="50"/>
  <c r="F586" i="50"/>
  <c r="G586" i="50" s="1"/>
  <c r="F585" i="50"/>
  <c r="G585" i="50" s="1"/>
  <c r="F584" i="50"/>
  <c r="G584" i="50" s="1"/>
  <c r="F583" i="50"/>
  <c r="G583" i="50" s="1"/>
  <c r="F491" i="50"/>
  <c r="G491" i="50" s="1"/>
  <c r="F472" i="50"/>
  <c r="D253" i="2"/>
  <c r="D254" i="2" s="1"/>
  <c r="D252" i="2"/>
  <c r="G570" i="50"/>
  <c r="F567" i="50"/>
  <c r="G567" i="50" s="1"/>
  <c r="F566" i="50"/>
  <c r="G566" i="50" s="1"/>
  <c r="F565" i="50"/>
  <c r="G565" i="50" s="1"/>
  <c r="F564" i="50"/>
  <c r="G564" i="50" s="1"/>
  <c r="F533" i="50"/>
  <c r="F532" i="50"/>
  <c r="G532" i="50" s="1"/>
  <c r="F527" i="50"/>
  <c r="G527" i="50" s="1"/>
  <c r="F529" i="50"/>
  <c r="G529" i="50" s="1"/>
  <c r="F528" i="50"/>
  <c r="G528" i="50" s="1"/>
  <c r="F526" i="50"/>
  <c r="G526" i="50" s="1"/>
  <c r="F513" i="50"/>
  <c r="G513" i="50" s="1"/>
  <c r="F512" i="50"/>
  <c r="G512" i="50" s="1"/>
  <c r="F506" i="50"/>
  <c r="G506" i="50" s="1"/>
  <c r="F508" i="50"/>
  <c r="G508" i="50" s="1"/>
  <c r="F507" i="50"/>
  <c r="G507" i="50" s="1"/>
  <c r="F505" i="50"/>
  <c r="G505" i="50" s="1"/>
  <c r="F488" i="50"/>
  <c r="G488" i="50" s="1"/>
  <c r="F487" i="50"/>
  <c r="G487" i="50" s="1"/>
  <c r="F486" i="50"/>
  <c r="G486" i="50" s="1"/>
  <c r="F485" i="50"/>
  <c r="G485" i="50" s="1"/>
  <c r="F473" i="50"/>
  <c r="F492" i="50" s="1"/>
  <c r="G492" i="50" s="1"/>
  <c r="F469" i="50"/>
  <c r="G469" i="50" s="1"/>
  <c r="F468" i="50"/>
  <c r="G468" i="50" s="1"/>
  <c r="F467" i="50"/>
  <c r="G467" i="50" s="1"/>
  <c r="F466" i="50"/>
  <c r="G466" i="50" s="1"/>
  <c r="G533" i="50" l="1"/>
  <c r="G534" i="50" s="1"/>
  <c r="F552" i="50"/>
  <c r="G552" i="50" s="1"/>
  <c r="G553" i="50" s="1"/>
  <c r="G556" i="50" s="1"/>
  <c r="G557" i="50" s="1"/>
  <c r="G558" i="50" s="1"/>
  <c r="E67" i="51" s="1"/>
  <c r="F668" i="50"/>
  <c r="G668" i="50" s="1"/>
  <c r="G844" i="50"/>
  <c r="G847" i="50" s="1"/>
  <c r="G848" i="50" s="1"/>
  <c r="G849" i="50" s="1"/>
  <c r="E90" i="51" s="1"/>
  <c r="H157" i="69" s="1"/>
  <c r="G823" i="50"/>
  <c r="G826" i="50" s="1"/>
  <c r="G827" i="50" s="1"/>
  <c r="G828" i="50" s="1"/>
  <c r="E89" i="51" s="1"/>
  <c r="G749" i="50"/>
  <c r="G750" i="50" s="1"/>
  <c r="G751" i="50" s="1"/>
  <c r="E84" i="51" s="1"/>
  <c r="H117" i="69" s="1"/>
  <c r="I117" i="69" s="1"/>
  <c r="G731" i="50"/>
  <c r="G732" i="50" s="1"/>
  <c r="G733" i="50" s="1"/>
  <c r="G711" i="50"/>
  <c r="G712" i="50" s="1"/>
  <c r="G713" i="50" s="1"/>
  <c r="G568" i="50"/>
  <c r="G626" i="50"/>
  <c r="G665" i="50"/>
  <c r="F609" i="50"/>
  <c r="G646" i="50"/>
  <c r="G650" i="50"/>
  <c r="G606" i="50"/>
  <c r="G587" i="50"/>
  <c r="F571" i="50"/>
  <c r="F1062" i="50" s="1"/>
  <c r="G1062" i="50" s="1"/>
  <c r="G530" i="50"/>
  <c r="G472" i="50"/>
  <c r="G511" i="50"/>
  <c r="G509" i="50"/>
  <c r="G489" i="50"/>
  <c r="G493" i="50"/>
  <c r="G470" i="50"/>
  <c r="I157" i="69" l="1"/>
  <c r="H248" i="69"/>
  <c r="I248" i="69" s="1"/>
  <c r="I247" i="69"/>
  <c r="E83" i="51"/>
  <c r="G669" i="50"/>
  <c r="G672" i="50" s="1"/>
  <c r="G673" i="50" s="1"/>
  <c r="G674" i="50" s="1"/>
  <c r="E75" i="51" s="1"/>
  <c r="G1063" i="50"/>
  <c r="G1067" i="50" s="1"/>
  <c r="E80" i="51"/>
  <c r="G571" i="50"/>
  <c r="F590" i="50"/>
  <c r="G590" i="50" s="1"/>
  <c r="F629" i="50"/>
  <c r="G629" i="50" s="1"/>
  <c r="G609" i="50"/>
  <c r="G653" i="50"/>
  <c r="G654" i="50" s="1"/>
  <c r="G655" i="50" s="1"/>
  <c r="G537" i="50"/>
  <c r="G538" i="50" s="1"/>
  <c r="G539" i="50" s="1"/>
  <c r="G514" i="50"/>
  <c r="G517" i="50" s="1"/>
  <c r="G518" i="50" s="1"/>
  <c r="G519" i="50" s="1"/>
  <c r="G496" i="50"/>
  <c r="G497" i="50" s="1"/>
  <c r="G498" i="50" s="1"/>
  <c r="I252" i="69" l="1"/>
  <c r="J30" i="76" s="1"/>
  <c r="H143" i="69"/>
  <c r="I143" i="69" s="1"/>
  <c r="H232" i="69"/>
  <c r="I232" i="69" s="1"/>
  <c r="H115" i="69"/>
  <c r="I115" i="69" s="1"/>
  <c r="H116" i="69"/>
  <c r="G1068" i="50"/>
  <c r="G1069" i="50" s="1"/>
  <c r="E103" i="51" s="1"/>
  <c r="E66" i="51"/>
  <c r="E57" i="51"/>
  <c r="E74" i="51"/>
  <c r="E54" i="51"/>
  <c r="G610" i="50"/>
  <c r="G613" i="50" s="1"/>
  <c r="G614" i="50" s="1"/>
  <c r="G615" i="50" s="1"/>
  <c r="E70" i="51" s="1"/>
  <c r="G630" i="50"/>
  <c r="G633" i="50" s="1"/>
  <c r="G634" i="50" s="1"/>
  <c r="G635" i="50" s="1"/>
  <c r="G591" i="50"/>
  <c r="G594" i="50" s="1"/>
  <c r="G595" i="50" s="1"/>
  <c r="G596" i="50" s="1"/>
  <c r="E69" i="51" s="1"/>
  <c r="G572" i="50"/>
  <c r="G575" i="50" s="1"/>
  <c r="G576" i="50" s="1"/>
  <c r="G577" i="50" s="1"/>
  <c r="H206" i="69" l="1"/>
  <c r="I206" i="69" s="1"/>
  <c r="H234" i="69"/>
  <c r="I234" i="69" s="1"/>
  <c r="H144" i="69"/>
  <c r="I144" i="69" s="1"/>
  <c r="H233" i="69"/>
  <c r="I233" i="69" s="1"/>
  <c r="H125" i="69"/>
  <c r="I125" i="69" s="1"/>
  <c r="H236" i="69"/>
  <c r="H229" i="69"/>
  <c r="I229" i="69" s="1"/>
  <c r="I230" i="69" s="1"/>
  <c r="J27" i="76" s="1"/>
  <c r="H133" i="69"/>
  <c r="I133" i="69" s="1"/>
  <c r="I134" i="69" s="1"/>
  <c r="J16" i="76" s="1"/>
  <c r="H189" i="69"/>
  <c r="I189" i="69" s="1"/>
  <c r="H190" i="69"/>
  <c r="I190" i="69" s="1"/>
  <c r="I116" i="69"/>
  <c r="I118" i="69" s="1"/>
  <c r="J14" i="76" s="1"/>
  <c r="E68" i="51"/>
  <c r="E71" i="51"/>
  <c r="H235" i="69" s="1"/>
  <c r="H126" i="69" l="1"/>
  <c r="H208" i="69" s="1"/>
  <c r="I208" i="69" s="1"/>
  <c r="I191" i="69"/>
  <c r="J23" i="76" s="1"/>
  <c r="H205" i="69"/>
  <c r="I205" i="69" s="1"/>
  <c r="I236" i="69"/>
  <c r="H145" i="69"/>
  <c r="I145" i="69" s="1"/>
  <c r="I146" i="69" s="1"/>
  <c r="J17" i="76" s="1"/>
  <c r="I235" i="69"/>
  <c r="B52" i="51"/>
  <c r="B51" i="51"/>
  <c r="B50" i="51"/>
  <c r="B49" i="51"/>
  <c r="B48" i="51"/>
  <c r="F441" i="50"/>
  <c r="G441" i="50" s="1"/>
  <c r="F443" i="50"/>
  <c r="F442" i="50"/>
  <c r="G442" i="50" s="1"/>
  <c r="F438" i="50"/>
  <c r="G438" i="50" s="1"/>
  <c r="F437" i="50"/>
  <c r="G437" i="50" s="1"/>
  <c r="F436" i="50"/>
  <c r="G436" i="50" s="1"/>
  <c r="F435" i="50"/>
  <c r="G435" i="50" s="1"/>
  <c r="F423" i="50"/>
  <c r="G423" i="50" s="1"/>
  <c r="F420" i="50"/>
  <c r="G420" i="50" s="1"/>
  <c r="F419" i="50"/>
  <c r="G419" i="50" s="1"/>
  <c r="F418" i="50"/>
  <c r="G418" i="50" s="1"/>
  <c r="F417" i="50"/>
  <c r="G417" i="50" s="1"/>
  <c r="I237" i="69" l="1"/>
  <c r="J28" i="76" s="1"/>
  <c r="I207" i="69"/>
  <c r="I210" i="69" s="1"/>
  <c r="J25" i="76" s="1"/>
  <c r="I126" i="69"/>
  <c r="I127" i="69" s="1"/>
  <c r="J15" i="76" s="1"/>
  <c r="G443" i="50"/>
  <c r="G444" i="50" s="1"/>
  <c r="F1550" i="50"/>
  <c r="G473" i="50"/>
  <c r="G439" i="50"/>
  <c r="G421" i="50"/>
  <c r="G424" i="50"/>
  <c r="G474" i="50" l="1"/>
  <c r="G477" i="50" s="1"/>
  <c r="G478" i="50" s="1"/>
  <c r="G479" i="50" s="1"/>
  <c r="E53" i="51" s="1"/>
  <c r="G427" i="50"/>
  <c r="G428" i="50" s="1"/>
  <c r="G429" i="50" s="1"/>
  <c r="G447" i="50"/>
  <c r="G448" i="50" s="1"/>
  <c r="G449" i="50" s="1"/>
  <c r="E51" i="51" l="1"/>
  <c r="H221" i="69" s="1"/>
  <c r="I221" i="69" s="1"/>
  <c r="E52" i="51"/>
  <c r="H222" i="69" s="1"/>
  <c r="I222" i="69" s="1"/>
  <c r="I225" i="69" l="1"/>
  <c r="J26" i="76" s="1"/>
  <c r="B43" i="51"/>
  <c r="B44" i="51"/>
  <c r="B39" i="51"/>
  <c r="B38" i="51"/>
  <c r="B37" i="51"/>
  <c r="B36" i="51"/>
  <c r="F300" i="50"/>
  <c r="G300" i="50" s="1"/>
  <c r="F297" i="50"/>
  <c r="G297" i="50" s="1"/>
  <c r="F296" i="50"/>
  <c r="G296" i="50" s="1"/>
  <c r="F295" i="50"/>
  <c r="G295" i="50" s="1"/>
  <c r="F294" i="50"/>
  <c r="F291" i="50"/>
  <c r="F290" i="50"/>
  <c r="F289" i="50"/>
  <c r="F288" i="50"/>
  <c r="F278" i="50"/>
  <c r="G278" i="50" s="1"/>
  <c r="F256" i="50"/>
  <c r="G256" i="50" s="1"/>
  <c r="F275" i="50"/>
  <c r="F274" i="50"/>
  <c r="F273" i="50"/>
  <c r="F272" i="50"/>
  <c r="F269" i="50"/>
  <c r="G269" i="50" s="1"/>
  <c r="F268" i="50"/>
  <c r="G268" i="50" s="1"/>
  <c r="F267" i="50"/>
  <c r="G267" i="50" s="1"/>
  <c r="F266" i="50"/>
  <c r="G266" i="50" s="1"/>
  <c r="F253" i="50"/>
  <c r="G253" i="50" s="1"/>
  <c r="F252" i="50"/>
  <c r="G252" i="50" s="1"/>
  <c r="F251" i="50"/>
  <c r="F250" i="50"/>
  <c r="G250" i="50" s="1"/>
  <c r="F247" i="50"/>
  <c r="G247" i="50" s="1"/>
  <c r="F246" i="50"/>
  <c r="G246" i="50" s="1"/>
  <c r="F245" i="50"/>
  <c r="G245" i="50" s="1"/>
  <c r="F244" i="50"/>
  <c r="G244" i="50" s="1"/>
  <c r="G290" i="50" l="1"/>
  <c r="F314" i="50"/>
  <c r="G291" i="50"/>
  <c r="F315" i="50"/>
  <c r="G288" i="50"/>
  <c r="F310" i="50"/>
  <c r="G289" i="50"/>
  <c r="F311" i="50"/>
  <c r="G251" i="50"/>
  <c r="G254" i="50" s="1"/>
  <c r="F2372" i="50"/>
  <c r="G2372" i="50" s="1"/>
  <c r="G2373" i="50" s="1"/>
  <c r="G2376" i="50" s="1"/>
  <c r="G273" i="50"/>
  <c r="F398" i="50"/>
  <c r="G398" i="50" s="1"/>
  <c r="G274" i="50"/>
  <c r="F399" i="50"/>
  <c r="G399" i="50" s="1"/>
  <c r="G275" i="50"/>
  <c r="F400" i="50"/>
  <c r="G400" i="50" s="1"/>
  <c r="G294" i="50"/>
  <c r="G298" i="50" s="1"/>
  <c r="F322" i="50"/>
  <c r="G272" i="50"/>
  <c r="F1549" i="50"/>
  <c r="G1549" i="50" s="1"/>
  <c r="G257" i="50"/>
  <c r="G374" i="50"/>
  <c r="G1550" i="50"/>
  <c r="G2141" i="50"/>
  <c r="G2140" i="50"/>
  <c r="G2139" i="50"/>
  <c r="G2142" i="50"/>
  <c r="G301" i="50"/>
  <c r="G270" i="50"/>
  <c r="G279" i="50"/>
  <c r="G248" i="50"/>
  <c r="G292" i="50" l="1"/>
  <c r="G302" i="50" s="1"/>
  <c r="G303" i="50" s="1"/>
  <c r="G304" i="50" s="1"/>
  <c r="F312" i="50"/>
  <c r="F336" i="50"/>
  <c r="G336" i="50" s="1"/>
  <c r="G311" i="50"/>
  <c r="F335" i="50"/>
  <c r="G335" i="50" s="1"/>
  <c r="G310" i="50"/>
  <c r="F340" i="50"/>
  <c r="G340" i="50" s="1"/>
  <c r="G315" i="50"/>
  <c r="F339" i="50"/>
  <c r="G339" i="50" s="1"/>
  <c r="G314" i="50"/>
  <c r="G2377" i="50"/>
  <c r="G2378" i="50" s="1"/>
  <c r="E198" i="51" s="1"/>
  <c r="G401" i="50"/>
  <c r="G405" i="50" s="1"/>
  <c r="F2300" i="50" s="1"/>
  <c r="G276" i="50"/>
  <c r="G280" i="50" s="1"/>
  <c r="G281" i="50" s="1"/>
  <c r="G282" i="50" s="1"/>
  <c r="F348" i="50"/>
  <c r="G348" i="50" s="1"/>
  <c r="G351" i="50" s="1"/>
  <c r="G322" i="50"/>
  <c r="G325" i="50" s="1"/>
  <c r="G375" i="50"/>
  <c r="G376" i="50" s="1"/>
  <c r="G377" i="50" s="1"/>
  <c r="G378" i="50" s="1"/>
  <c r="G1551" i="50"/>
  <c r="G1555" i="50" s="1"/>
  <c r="G2143" i="50"/>
  <c r="G2152" i="50" s="1"/>
  <c r="G2153" i="50" s="1"/>
  <c r="G2154" i="50" s="1"/>
  <c r="G258" i="50"/>
  <c r="F337" i="50" l="1"/>
  <c r="G337" i="50" s="1"/>
  <c r="F313" i="50"/>
  <c r="G312" i="50"/>
  <c r="F2348" i="50"/>
  <c r="G2348" i="50" s="1"/>
  <c r="F2315" i="50"/>
  <c r="G2315" i="50" s="1"/>
  <c r="G2300" i="50"/>
  <c r="F2302" i="50"/>
  <c r="F2317" i="50" s="1"/>
  <c r="G2317" i="50" s="1"/>
  <c r="G406" i="50"/>
  <c r="G407" i="50" s="1"/>
  <c r="E46" i="51" s="1"/>
  <c r="G259" i="50"/>
  <c r="G260" i="50" s="1"/>
  <c r="E37" i="51" s="1"/>
  <c r="F2236" i="50"/>
  <c r="F2256" i="50" s="1"/>
  <c r="E45" i="51"/>
  <c r="G1556" i="50"/>
  <c r="G1557" i="50" s="1"/>
  <c r="E144" i="51" s="1"/>
  <c r="E180" i="51"/>
  <c r="H185" i="69" s="1"/>
  <c r="E39" i="51"/>
  <c r="E38" i="51"/>
  <c r="H193" i="69" s="1"/>
  <c r="F338" i="50" l="1"/>
  <c r="G338" i="50" s="1"/>
  <c r="G341" i="50" s="1"/>
  <c r="G354" i="50" s="1"/>
  <c r="G355" i="50" s="1"/>
  <c r="G356" i="50" s="1"/>
  <c r="E41" i="51" s="1"/>
  <c r="G313" i="50"/>
  <c r="G316" i="50" s="1"/>
  <c r="G328" i="50" s="1"/>
  <c r="G329" i="50" s="1"/>
  <c r="G330" i="50" s="1"/>
  <c r="E40" i="51" s="1"/>
  <c r="H196" i="69"/>
  <c r="I196" i="69" s="1"/>
  <c r="I193" i="69"/>
  <c r="G2256" i="50"/>
  <c r="G2259" i="50" s="1"/>
  <c r="G2263" i="50" s="1"/>
  <c r="G2264" i="50" s="1"/>
  <c r="G2265" i="50" s="1"/>
  <c r="E189" i="51" s="1"/>
  <c r="F2284" i="50"/>
  <c r="G2284" i="50" s="1"/>
  <c r="G2236" i="50"/>
  <c r="G2239" i="50" s="1"/>
  <c r="G2243" i="50" s="1"/>
  <c r="G2244" i="50" s="1"/>
  <c r="G2245" i="50" s="1"/>
  <c r="E188" i="51" s="1"/>
  <c r="G2316" i="50"/>
  <c r="G2321" i="50" s="1"/>
  <c r="G2322" i="50" s="1"/>
  <c r="G2323" i="50" s="1"/>
  <c r="E194" i="51" s="1"/>
  <c r="G2302" i="50"/>
  <c r="G2307" i="50" s="1"/>
  <c r="G2308" i="50" s="1"/>
  <c r="G2309" i="50" s="1"/>
  <c r="E192" i="51" s="1"/>
  <c r="F2350" i="50"/>
  <c r="G2350" i="50" s="1"/>
  <c r="I185" i="69"/>
  <c r="I186" i="69" s="1"/>
  <c r="J21" i="76" s="1"/>
  <c r="H267" i="69"/>
  <c r="I267" i="69" s="1"/>
  <c r="I268" i="69" s="1"/>
  <c r="J32" i="76" s="1"/>
  <c r="B32" i="51"/>
  <c r="B34" i="51"/>
  <c r="B33" i="51"/>
  <c r="F208" i="50"/>
  <c r="F207" i="50"/>
  <c r="G207" i="50" s="1"/>
  <c r="G2288" i="50" l="1"/>
  <c r="G2292" i="50" s="1"/>
  <c r="G2293" i="50" s="1"/>
  <c r="G2294" i="50" s="1"/>
  <c r="E190" i="51" s="1"/>
  <c r="G2349" i="50"/>
  <c r="G2357" i="50" s="1"/>
  <c r="G2358" i="50" s="1"/>
  <c r="G2359" i="50" s="1"/>
  <c r="E196" i="51" s="1"/>
  <c r="F206" i="50"/>
  <c r="G206" i="50" s="1"/>
  <c r="E34" i="51" l="1"/>
  <c r="G211" i="50" l="1"/>
  <c r="G208" i="50"/>
  <c r="F185" i="50"/>
  <c r="F184" i="50"/>
  <c r="G204" i="50" l="1"/>
  <c r="G209" i="50"/>
  <c r="G212" i="50" l="1"/>
  <c r="G213" i="50" s="1"/>
  <c r="G214" i="50" s="1"/>
  <c r="C30" i="51"/>
  <c r="B29" i="51"/>
  <c r="C28" i="51"/>
  <c r="B27" i="51"/>
  <c r="B26" i="51"/>
  <c r="G185" i="50"/>
  <c r="G184" i="50"/>
  <c r="F181" i="50"/>
  <c r="G181" i="50" s="1"/>
  <c r="F180" i="50"/>
  <c r="G180" i="50" s="1"/>
  <c r="F177" i="50"/>
  <c r="G177" i="50" s="1"/>
  <c r="F176" i="50"/>
  <c r="G176" i="50" s="1"/>
  <c r="F175" i="50"/>
  <c r="G175" i="50" s="1"/>
  <c r="F174" i="50"/>
  <c r="G174" i="50" s="1"/>
  <c r="F161" i="50"/>
  <c r="G161" i="50" s="1"/>
  <c r="F160" i="50"/>
  <c r="G160" i="50" s="1"/>
  <c r="F140" i="50"/>
  <c r="G140" i="50" s="1"/>
  <c r="F139" i="50"/>
  <c r="G139" i="50" s="1"/>
  <c r="F157" i="50"/>
  <c r="G157" i="50" s="1"/>
  <c r="F156" i="50"/>
  <c r="G156" i="50" s="1"/>
  <c r="F155" i="50"/>
  <c r="G155" i="50" s="1"/>
  <c r="F154" i="50"/>
  <c r="G154" i="50" s="1"/>
  <c r="F136" i="50"/>
  <c r="G136" i="50" s="1"/>
  <c r="F135" i="50"/>
  <c r="G135" i="50" s="1"/>
  <c r="F134" i="50"/>
  <c r="G134" i="50" s="1"/>
  <c r="F133" i="50"/>
  <c r="G133" i="50" s="1"/>
  <c r="F112" i="50"/>
  <c r="F113" i="50"/>
  <c r="E33" i="51" l="1"/>
  <c r="G186" i="50"/>
  <c r="G178" i="50"/>
  <c r="G182" i="50"/>
  <c r="G162" i="50"/>
  <c r="G158" i="50"/>
  <c r="G141" i="50"/>
  <c r="G137" i="50"/>
  <c r="H195" i="69" l="1"/>
  <c r="G187" i="50"/>
  <c r="G188" i="50" s="1"/>
  <c r="G189" i="50" s="1"/>
  <c r="G165" i="50"/>
  <c r="G166" i="50" s="1"/>
  <c r="G167" i="50" s="1"/>
  <c r="G144" i="50"/>
  <c r="G145" i="50" s="1"/>
  <c r="G146" i="50" s="1"/>
  <c r="I195" i="69" l="1"/>
  <c r="H198" i="69"/>
  <c r="I198" i="69" s="1"/>
  <c r="E25" i="51"/>
  <c r="E28" i="51"/>
  <c r="E30" i="51"/>
  <c r="H194" i="69" l="1"/>
  <c r="B20" i="51"/>
  <c r="B19" i="51"/>
  <c r="B18" i="51"/>
  <c r="F117" i="50"/>
  <c r="G117" i="50" s="1"/>
  <c r="H197" i="69" l="1"/>
  <c r="I197" i="69" s="1"/>
  <c r="I194" i="69"/>
  <c r="G118" i="50"/>
  <c r="G112" i="50"/>
  <c r="G113" i="50"/>
  <c r="F114" i="50"/>
  <c r="G114" i="50" s="1"/>
  <c r="F111" i="50"/>
  <c r="G111" i="50" s="1"/>
  <c r="B8" i="51"/>
  <c r="B7" i="51"/>
  <c r="I199" i="69" l="1"/>
  <c r="J24" i="76" s="1"/>
  <c r="G115" i="50"/>
  <c r="G121" i="50" l="1"/>
  <c r="G122" i="50" s="1"/>
  <c r="G123" i="50" s="1"/>
  <c r="E20" i="51" l="1"/>
  <c r="D14" i="49"/>
  <c r="G12" i="50"/>
  <c r="F9" i="50"/>
  <c r="G9" i="50" s="1"/>
  <c r="F8" i="50"/>
  <c r="G8" i="50" s="1"/>
  <c r="D9" i="49"/>
  <c r="D10" i="49" s="1"/>
  <c r="D11" i="49" s="1"/>
  <c r="A8" i="49"/>
  <c r="A9" i="49" s="1"/>
  <c r="A10" i="49" s="1"/>
  <c r="A13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F14" i="50" l="1"/>
  <c r="F15" i="50"/>
  <c r="G15" i="50" s="1"/>
  <c r="F16" i="50"/>
  <c r="G16" i="50" s="1"/>
  <c r="G10" i="50"/>
  <c r="G14" i="50" l="1"/>
  <c r="B290" i="2"/>
  <c r="B291" i="2" s="1"/>
  <c r="B292" i="2" s="1"/>
  <c r="B293" i="2" s="1"/>
  <c r="B294" i="2" s="1"/>
  <c r="G17" i="50" l="1"/>
  <c r="G18" i="50" s="1"/>
  <c r="G19" i="50" s="1"/>
  <c r="G20" i="50" s="1"/>
  <c r="E8" i="51" s="1"/>
  <c r="B305" i="2" l="1"/>
  <c r="B306" i="2" s="1"/>
  <c r="B307" i="2" s="1"/>
  <c r="B89" i="2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214" i="2"/>
  <c r="B215" i="2" s="1"/>
  <c r="B216" i="2" s="1"/>
  <c r="B217" i="2" s="1"/>
  <c r="B218" i="2" s="1"/>
  <c r="B219" i="2" s="1"/>
  <c r="B220" i="2" s="1"/>
  <c r="B221" i="2" s="1"/>
  <c r="B222" i="2" s="1"/>
  <c r="B223" i="2" s="1"/>
  <c r="B115" i="2"/>
  <c r="B64" i="2" l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204" i="2"/>
  <c r="B205" i="2" s="1"/>
  <c r="B183" i="2"/>
  <c r="B184" i="2" s="1"/>
  <c r="B185" i="2" s="1"/>
  <c r="B182" i="2"/>
  <c r="B80" i="2" l="1"/>
  <c r="B81" i="2" s="1"/>
  <c r="B82" i="2" s="1"/>
  <c r="B83" i="2" s="1"/>
  <c r="B84" i="2" s="1"/>
  <c r="B85" i="2" s="1"/>
  <c r="B251" i="2"/>
  <c r="B252" i="2" s="1"/>
  <c r="B253" i="2" s="1"/>
  <c r="B255" i="2" l="1"/>
  <c r="B256" i="2" s="1"/>
  <c r="B257" i="2" s="1"/>
  <c r="B258" i="2" s="1"/>
  <c r="B259" i="2" s="1"/>
  <c r="B260" i="2" s="1"/>
  <c r="B261" i="2" s="1"/>
  <c r="B262" i="2" s="1"/>
  <c r="B263" i="2" s="1"/>
  <c r="I156" i="69"/>
  <c r="I162" i="69" s="1"/>
  <c r="J19" i="76" s="1"/>
  <c r="J34" i="76" s="1"/>
  <c r="J35" i="76" s="1"/>
  <c r="J36" i="76" s="1"/>
  <c r="J37" i="76" s="1"/>
  <c r="I270" i="69" l="1"/>
  <c r="I18" i="69" s="1"/>
  <c r="I20" i="69" s="1"/>
  <c r="I21" i="69" s="1"/>
  <c r="I22" i="69" l="1"/>
  <c r="I23" i="69" s="1"/>
  <c r="K24" i="69" s="1"/>
  <c r="K25" i="69" s="1"/>
</calcChain>
</file>

<file path=xl/comments1.xml><?xml version="1.0" encoding="utf-8"?>
<comments xmlns="http://schemas.openxmlformats.org/spreadsheetml/2006/main">
  <authors>
    <author>ADMIN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Input Overhead &amp; Profit</t>
        </r>
      </text>
    </comment>
  </commentList>
</comments>
</file>

<file path=xl/sharedStrings.xml><?xml version="1.0" encoding="utf-8"?>
<sst xmlns="http://schemas.openxmlformats.org/spreadsheetml/2006/main" count="6821" uniqueCount="1089">
  <si>
    <t>NO</t>
  </si>
  <si>
    <t>SATUAN</t>
  </si>
  <si>
    <t>ltr</t>
  </si>
  <si>
    <t>Set</t>
  </si>
  <si>
    <t>BAHAN LISTRIK</t>
  </si>
  <si>
    <t>bj</t>
  </si>
  <si>
    <t xml:space="preserve">Kabel NYM 3 x 2.5 mm </t>
  </si>
  <si>
    <t>bh</t>
  </si>
  <si>
    <t>ttk</t>
  </si>
  <si>
    <t>Batu Gunung</t>
  </si>
  <si>
    <t>m3</t>
  </si>
  <si>
    <t>Batako Buntu</t>
  </si>
  <si>
    <t>m2</t>
  </si>
  <si>
    <t>zak</t>
  </si>
  <si>
    <t>kg</t>
  </si>
  <si>
    <t>Mill</t>
  </si>
  <si>
    <t>Pasir Pasangan</t>
  </si>
  <si>
    <t>Tanah Urug</t>
  </si>
  <si>
    <t>ps</t>
  </si>
  <si>
    <t>BESI BETON DAN PAGAR</t>
  </si>
  <si>
    <t>m'</t>
  </si>
  <si>
    <t>lbr</t>
  </si>
  <si>
    <t>FINISHING</t>
  </si>
  <si>
    <t>Kuas</t>
  </si>
  <si>
    <t>Clear Glos</t>
  </si>
  <si>
    <t xml:space="preserve">KACA </t>
  </si>
  <si>
    <t>Glass Block</t>
  </si>
  <si>
    <t>Kaca Cermin 5 mm</t>
  </si>
  <si>
    <t>Sealent Kaca</t>
  </si>
  <si>
    <t xml:space="preserve">KAYU </t>
  </si>
  <si>
    <t>btg</t>
  </si>
  <si>
    <t>KUNCI DAN PENGGANTUNG</t>
  </si>
  <si>
    <t>set</t>
  </si>
  <si>
    <t xml:space="preserve">PAKU </t>
  </si>
  <si>
    <t>dos</t>
  </si>
  <si>
    <t>Paku Sekrup 1/2 "</t>
  </si>
  <si>
    <t>ktk</t>
  </si>
  <si>
    <t>Paku Sekrup 2 "</t>
  </si>
  <si>
    <t xml:space="preserve">ATAP </t>
  </si>
  <si>
    <t xml:space="preserve">Bubungan Bulat Karang Pilang </t>
  </si>
  <si>
    <t>PLAFOND</t>
  </si>
  <si>
    <t>Kalsiboard (4,5 x 1220 x 2420) mm</t>
  </si>
  <si>
    <t xml:space="preserve">Multiplek 9 mm </t>
  </si>
  <si>
    <t xml:space="preserve">Multiplek 12 mm </t>
  </si>
  <si>
    <t xml:space="preserve">SANITAIR </t>
  </si>
  <si>
    <t>Kran TOTO T 23 B13</t>
  </si>
  <si>
    <t>Kran TOTO T 26 - 13</t>
  </si>
  <si>
    <t>SEMEN PC Setara</t>
  </si>
  <si>
    <t>Ls</t>
  </si>
  <si>
    <t>SPESIFIKASI</t>
  </si>
  <si>
    <t>Mandor</t>
  </si>
  <si>
    <t>Hari</t>
  </si>
  <si>
    <t>Tukang Aluminium</t>
  </si>
  <si>
    <t>Kepala Tukang Style Bali</t>
  </si>
  <si>
    <t>Tukang Batu</t>
  </si>
  <si>
    <t>Mandor Style Bali</t>
  </si>
  <si>
    <t>Tukang Besi</t>
  </si>
  <si>
    <t>Tukang Kayu</t>
  </si>
  <si>
    <t>Tukang Politur</t>
  </si>
  <si>
    <t>Tukang Cat</t>
  </si>
  <si>
    <t>Tukang Style Bali</t>
  </si>
  <si>
    <t>Pekerja Style Bali</t>
  </si>
  <si>
    <t>Tukang Listrik</t>
  </si>
  <si>
    <t>Kepala Tukang Las</t>
  </si>
  <si>
    <t>DAFTAR ANALISA PEKERJAAN</t>
  </si>
  <si>
    <t>URAIAN</t>
  </si>
  <si>
    <t>KODE</t>
  </si>
  <si>
    <t xml:space="preserve"> (Rp.)</t>
  </si>
  <si>
    <t>A.</t>
  </si>
  <si>
    <t>Pekerja</t>
  </si>
  <si>
    <t>L.01</t>
  </si>
  <si>
    <t>OH</t>
  </si>
  <si>
    <t>L.02</t>
  </si>
  <si>
    <t>Kepala Tukang</t>
  </si>
  <si>
    <t>L.03</t>
  </si>
  <si>
    <t>L.04</t>
  </si>
  <si>
    <t>JUMLAH TENAGA KERJA</t>
  </si>
  <si>
    <t>B.</t>
  </si>
  <si>
    <t>BAHAN</t>
  </si>
  <si>
    <t>JUMLAH HARGA BAHAN</t>
  </si>
  <si>
    <t>C.</t>
  </si>
  <si>
    <t>PERALATAN</t>
  </si>
  <si>
    <t>JUMLAH HARGA ALAT</t>
  </si>
  <si>
    <t>D.</t>
  </si>
  <si>
    <t>E.</t>
  </si>
  <si>
    <t>F.</t>
  </si>
  <si>
    <t>Harga Satuan Pekerjaan (D+E)</t>
  </si>
  <si>
    <t>Semen Portland</t>
  </si>
  <si>
    <t>Pasir Pasang</t>
  </si>
  <si>
    <t>Air</t>
  </si>
  <si>
    <t>E</t>
  </si>
  <si>
    <t>ls</t>
  </si>
  <si>
    <t>Paku</t>
  </si>
  <si>
    <t>Assesories (perkuatan, las dll)</t>
  </si>
  <si>
    <t>F</t>
  </si>
  <si>
    <t>Pengencer</t>
  </si>
  <si>
    <t>%</t>
  </si>
  <si>
    <t>URAIAN PEKERJAAN</t>
  </si>
  <si>
    <t xml:space="preserve">HARGA </t>
  </si>
  <si>
    <t>Kabel NYA 1,5 mm</t>
  </si>
  <si>
    <t>Kabel NYA 2,5 mm</t>
  </si>
  <si>
    <t>Isolasi Biasa</t>
  </si>
  <si>
    <t>gln</t>
  </si>
  <si>
    <t>jam</t>
  </si>
  <si>
    <t>Cat Kayu Mowilex</t>
  </si>
  <si>
    <t>Politur Mowilex</t>
  </si>
  <si>
    <t>Politur Impra</t>
  </si>
  <si>
    <t>HPL/Formika</t>
  </si>
  <si>
    <t>SOLID</t>
  </si>
  <si>
    <t>Paku 2-5 cm</t>
  </si>
  <si>
    <t>Paku Beton 2-5 cm</t>
  </si>
  <si>
    <t>Ikut Celedu Paras</t>
  </si>
  <si>
    <t>Murda Paras</t>
  </si>
  <si>
    <t>KETERANGAN</t>
  </si>
  <si>
    <t>KERAMIK PLATINUM</t>
  </si>
  <si>
    <t>BAHAN LANTAI DAN DINDING</t>
  </si>
  <si>
    <t>Plamir Dinding</t>
  </si>
  <si>
    <t>Terminal Penangkal Petir (KURN R80)</t>
  </si>
  <si>
    <t>List Profil Kaca</t>
  </si>
  <si>
    <t>Engsel Jendela (kupu-kupu)</t>
  </si>
  <si>
    <t>Kabel NYY 3 x 1.5 mm Warna Hitam</t>
  </si>
  <si>
    <t>Kabel NYY 3 x 2.5 mm Warna Hitam</t>
  </si>
  <si>
    <t xml:space="preserve">BAHAN PIPA </t>
  </si>
  <si>
    <t>unit</t>
  </si>
  <si>
    <t>Lampu ML 250 Watt</t>
  </si>
  <si>
    <t>Driver Lampu LED 120 Watt</t>
  </si>
  <si>
    <t>Kabel NYY 2x2,5 mm</t>
  </si>
  <si>
    <t>Kabel NYM 2x2,5 mm</t>
  </si>
  <si>
    <t>Isolasi 3M</t>
  </si>
  <si>
    <t>BATU KALI &amp; AGREGAT</t>
  </si>
  <si>
    <t>Box Panel 30x40 cm t 1 mm</t>
  </si>
  <si>
    <t xml:space="preserve"> DAFTAR HARGA UPAH KERJA</t>
  </si>
  <si>
    <t xml:space="preserve"> HARGA </t>
  </si>
  <si>
    <t>HARGA</t>
  </si>
  <si>
    <t>HARGA SATUAN BAHAN</t>
  </si>
  <si>
    <t>Reng Aluminium P = 6 m</t>
  </si>
  <si>
    <t xml:space="preserve">Sosialisasi, Promosi dan Pelatihan </t>
  </si>
  <si>
    <t>Waterproofing</t>
  </si>
  <si>
    <t>Woodstain</t>
  </si>
  <si>
    <t>Terminal Penangkal Petir Bawah</t>
  </si>
  <si>
    <t>Batu Karangasem</t>
  </si>
  <si>
    <t xml:space="preserve">Batu Candi </t>
  </si>
  <si>
    <t xml:space="preserve">Plint 10 x 60 cm </t>
  </si>
  <si>
    <t>Stop Kran 3/4</t>
  </si>
  <si>
    <t>PERSIAPAN DAN KESELAMATAN</t>
  </si>
  <si>
    <t>Alat Pelindung Kerja dan Alat Pelindung Diri</t>
  </si>
  <si>
    <t>psg</t>
  </si>
  <si>
    <t xml:space="preserve">Batu Candi 2 x 20 x 40 cm </t>
  </si>
  <si>
    <t xml:space="preserve">Batu Candi 3 x 20 x 40 cm </t>
  </si>
  <si>
    <t>PERLENGKAPAN PIPA</t>
  </si>
  <si>
    <t>Fasilitas, Sarana dan Prasarana Kesehatan</t>
  </si>
  <si>
    <t xml:space="preserve">a. Peralatan P3K </t>
  </si>
  <si>
    <t>Minyak Bekisting</t>
  </si>
  <si>
    <t>Kawat Ikat Beton</t>
  </si>
  <si>
    <t>Kawat Las Listrik</t>
  </si>
  <si>
    <t>Semen Warna</t>
  </si>
  <si>
    <t xml:space="preserve">Kusen Aluminium 4" YKK </t>
  </si>
  <si>
    <t>Kusen Aluminium 3" YKK</t>
  </si>
  <si>
    <t>Paku Beton 5-7 cm</t>
  </si>
  <si>
    <t>Bak Mandi Fibre Glass 0,3 m3</t>
  </si>
  <si>
    <t>Seal Tape</t>
  </si>
  <si>
    <t>Kusen Aluminium 4" Alexindo</t>
  </si>
  <si>
    <t>Kusen Aluminium 3" Alexindo</t>
  </si>
  <si>
    <t>Aluminium Strip</t>
  </si>
  <si>
    <t>Hollow Aluminium Rangka Plafond 4/4 P. 4 m</t>
  </si>
  <si>
    <t>Hollow Aluminium Rangka Plafond 2/4 P. 4 m</t>
  </si>
  <si>
    <t>Rangka Aluminium C 0,75 mm P = 6 m (baja ringan)</t>
  </si>
  <si>
    <t xml:space="preserve">Semen Gresik 40 kg </t>
  </si>
  <si>
    <t>M'</t>
  </si>
  <si>
    <t>Papan Nama Proyek/Kegiatan</t>
  </si>
  <si>
    <t>Fiting Lampu (BROCO)</t>
  </si>
  <si>
    <t>Inbow Dos Plastik Clipsal E 157 P</t>
  </si>
  <si>
    <t>Klem Clipsal 20 mm</t>
  </si>
  <si>
    <t>Lampu Philips LED Flat 3 in (3.5 Watt) Philips</t>
  </si>
  <si>
    <t>Lampu Philips LED Flat 140 mm (10 Watt) Philips</t>
  </si>
  <si>
    <t>Lampu Philips LED Flat 3 in (14 Watt) Philips</t>
  </si>
  <si>
    <t>Lampu Philips LED Flat 3 in (22 Watt) Philips</t>
  </si>
  <si>
    <t>Lampu Philips LED Flat 137 mm (7 Watt) Philips</t>
  </si>
  <si>
    <t>Pipa Clipsal 20 mm</t>
  </si>
  <si>
    <t>Pipa Flexible Clipsal 20 mm</t>
  </si>
  <si>
    <t>Saklar Ganda (BROCO)</t>
  </si>
  <si>
    <t>Saklar Tripel (BROCO)</t>
  </si>
  <si>
    <t>Saklar Tunggal (BROCO)</t>
  </si>
  <si>
    <t>Tee Dos Clipsal 3/4</t>
  </si>
  <si>
    <t>Sock Clipsal 20 mm</t>
  </si>
  <si>
    <t>Stop Kontak (BROCO)</t>
  </si>
  <si>
    <t>Penghantar/BC 50 mm + Pipa</t>
  </si>
  <si>
    <t>Bata Merah Pasangan</t>
  </si>
  <si>
    <t xml:space="preserve">Bata Press Pejaten </t>
  </si>
  <si>
    <t>Bata Press Super</t>
  </si>
  <si>
    <t xml:space="preserve">Bata Gosok Tulikup </t>
  </si>
  <si>
    <t>Batu Koral Sikat Lokal 10 kg</t>
  </si>
  <si>
    <t>Pasir Urug/Timbunan</t>
  </si>
  <si>
    <t>Baja Strip (0,2 x 2) cm/Plat Strip</t>
  </si>
  <si>
    <t xml:space="preserve">Besi Strip </t>
  </si>
  <si>
    <t>Rata - Rata Besi Ø Per kg</t>
  </si>
  <si>
    <t>Besi/Baja Profil</t>
  </si>
  <si>
    <t>Besi Profil C Pipa Besi Ø 2"</t>
  </si>
  <si>
    <t>Besi Hollow 50.50.3</t>
  </si>
  <si>
    <t>Amplas (Flying Weel)</t>
  </si>
  <si>
    <t>Cat Kayu Emco Gunung</t>
  </si>
  <si>
    <t>Cat Tembok/Plafond Dulux (dinding dalam)</t>
  </si>
  <si>
    <t>Cat Tembok/Plafond Dulux (dinding luar)</t>
  </si>
  <si>
    <t>Cat Tembok/Plafond Vinilex</t>
  </si>
  <si>
    <t>Cat Tembok KCA</t>
  </si>
  <si>
    <t>Cat Dasar Dinding Dulux (dinding luar)</t>
  </si>
  <si>
    <t>Cat Dasar Dinding Dulux (dinding dalam)</t>
  </si>
  <si>
    <t>Cat dasar Dinding Vinilex (dinding dalam)</t>
  </si>
  <si>
    <t>Cat dasar Dinding Vinilex (dinding luar)</t>
  </si>
  <si>
    <t>Cat Dasar Dinding Catylac (dinding luar)</t>
  </si>
  <si>
    <t>Lem Fox (Rajawali Kuning)</t>
  </si>
  <si>
    <t>Minyak Cat</t>
  </si>
  <si>
    <t>Vernis Ultran</t>
  </si>
  <si>
    <t>Kaca 5 mm Bening</t>
  </si>
  <si>
    <t>Kaca 8 mm Bening</t>
  </si>
  <si>
    <t>Bambu Besar Ukuran 4 m</t>
  </si>
  <si>
    <t>Bambu Sedang Ukuran 4 m</t>
  </si>
  <si>
    <t xml:space="preserve">Kayu Bekesting   </t>
  </si>
  <si>
    <t>Kayu Bingkirai Balok</t>
  </si>
  <si>
    <t>Kayu Bingkirai Papan</t>
  </si>
  <si>
    <t xml:space="preserve">Kayu Kamper Papan </t>
  </si>
  <si>
    <t>Kayu Kamper Balok 6/12</t>
  </si>
  <si>
    <t>Kunci Silinder/Bulat C601x400 ss</t>
  </si>
  <si>
    <t xml:space="preserve">Bubungan Kotak Karang Pilang </t>
  </si>
  <si>
    <t>Genteng Kodok Karang Pilang (Goodyear)</t>
  </si>
  <si>
    <t>Gypsum Jaya Board (120x240x9) mm</t>
  </si>
  <si>
    <t>Gypsum Aplus (120x240x9) mm</t>
  </si>
  <si>
    <t>Shower Spray TOTO Type TX403SB</t>
  </si>
  <si>
    <t>Tempat Sabun</t>
  </si>
  <si>
    <t>Urinoir TOTO U 57 M</t>
  </si>
  <si>
    <t>Semen Warna/Semen Grouting</t>
  </si>
  <si>
    <t>lonjor</t>
  </si>
  <si>
    <t>Engsel Pintu SOLID EK 07 NB 4" (kupu-kupu)</t>
  </si>
  <si>
    <t>Engsel Pintu SOLID EK 18 4BB 5" (kupu-kupu)</t>
  </si>
  <si>
    <t>Engsel Jendela SOLID EK 06 2BB 3" (kupu-kupu)</t>
  </si>
  <si>
    <t>Engsel Jendela SOLID EK 16 NB 3" (kupu-kupu)</t>
  </si>
  <si>
    <t>Kunci Slot/Grendel SOLID 611 4" SN</t>
  </si>
  <si>
    <t>Kunci Slot/Grendel SOLID G 627 3" GP</t>
  </si>
  <si>
    <t>Kait Angin SOLID HA 641 10" GP</t>
  </si>
  <si>
    <t>Kait Angin SOLID HA 641 10" A</t>
  </si>
  <si>
    <t>Kunci Pintu + Handle SOLID HP81.01+LC821-40 US32D+DC SCR802-60</t>
  </si>
  <si>
    <t>Kunci Pintu + Handle SOLID HP81.02+LC821-40 US32D+DC SCR802-60</t>
  </si>
  <si>
    <t>Kunci Pintu + Handle SOLID HRE 61.44+LC111-WI+DC02-60MK</t>
  </si>
  <si>
    <t>List Gypsum C7 (Lebar 9,5 cm) P = 2,2 m</t>
  </si>
  <si>
    <t>List Gypsum C6 (Lebar 7,5 cm) P = 2,2 m</t>
  </si>
  <si>
    <t>Box Panel MCB Plastik 4 / 6 / 8 Group</t>
  </si>
  <si>
    <t xml:space="preserve">Fiting Lampu Downlight 3" Philips </t>
  </si>
  <si>
    <t>Tukang Pipa</t>
  </si>
  <si>
    <t>Kepala Tukang Pipa</t>
  </si>
  <si>
    <t>Kepala Tukang Listrik</t>
  </si>
  <si>
    <t>Peralatan</t>
  </si>
  <si>
    <t xml:space="preserve">Pipa PVC AW Ø 1/2" </t>
  </si>
  <si>
    <t xml:space="preserve">Pipa PVC AW Ø 3/4" </t>
  </si>
  <si>
    <t xml:space="preserve">Pipa PVC AW Ø 2.5" </t>
  </si>
  <si>
    <t xml:space="preserve">Pipa PVC AW Ø 3" </t>
  </si>
  <si>
    <t xml:space="preserve">Pipa PVC AW Ø 4" </t>
  </si>
  <si>
    <t>SEWA PERALATAN</t>
  </si>
  <si>
    <t>Mini Excavator</t>
  </si>
  <si>
    <t>Flat Bed Truck</t>
  </si>
  <si>
    <t>Dump Truck 3-4 M3</t>
  </si>
  <si>
    <t>Stamper</t>
  </si>
  <si>
    <t>MK</t>
  </si>
  <si>
    <t>A</t>
  </si>
  <si>
    <t>B</t>
  </si>
  <si>
    <t>C</t>
  </si>
  <si>
    <t>Lbr</t>
  </si>
  <si>
    <t>m1</t>
  </si>
  <si>
    <t>TENAGA KERJA</t>
  </si>
  <si>
    <t>Kg</t>
  </si>
  <si>
    <t>Paku Sekrup</t>
  </si>
  <si>
    <t>M³</t>
  </si>
  <si>
    <t xml:space="preserve">Kepala Tukang </t>
  </si>
  <si>
    <t>bt</t>
  </si>
  <si>
    <t>Unit</t>
  </si>
  <si>
    <t>m</t>
  </si>
  <si>
    <t>No</t>
  </si>
  <si>
    <t>Kode</t>
  </si>
  <si>
    <t>Satuan</t>
  </si>
  <si>
    <t>Koefisien</t>
  </si>
  <si>
    <t>Harga Satuan</t>
  </si>
  <si>
    <t>Jumlah Harga</t>
  </si>
  <si>
    <t>D</t>
  </si>
  <si>
    <t>Jumlah (A+B+C)</t>
  </si>
  <si>
    <t>unt</t>
  </si>
  <si>
    <t>Pipa Galvanis Ø 3" Spindo</t>
  </si>
  <si>
    <t>1.6   PEKERJAAN PEMBONGKARAN</t>
  </si>
  <si>
    <t>1.6.1  Bongkar 1 M³ pasangan batu (manual) untuk bangunan gedung</t>
  </si>
  <si>
    <t>Jumlah Harga Alat</t>
  </si>
  <si>
    <t>Palu/godam (baja keras)</t>
  </si>
  <si>
    <t>Pahat beton (baja keras)</t>
  </si>
  <si>
    <t>Linggis (baja keras)</t>
  </si>
  <si>
    <t>Buah</t>
  </si>
  <si>
    <t>Jumlah Harga Tenaga Kerja, Bahan dan Peralatan (A+B+C)</t>
  </si>
  <si>
    <t>Biaya Umum dan Keuntungan</t>
  </si>
  <si>
    <t>Jack hammer (5 KW) + Genset (12 HP)</t>
  </si>
  <si>
    <t>U  r  a  i  a  n</t>
  </si>
  <si>
    <t>Liter</t>
  </si>
  <si>
    <t>Jack  Hammer  Drill-1.5  KW+ Genset  3 KWH</t>
  </si>
  <si>
    <t>Tenaga</t>
  </si>
  <si>
    <t>Bahan</t>
  </si>
  <si>
    <t>% TKDN</t>
  </si>
  <si>
    <t>REKAPITULASI ANALISA HARGA SATUAN PEKERJAAN</t>
  </si>
  <si>
    <t>2  PEKERJAAN STRUKTUR</t>
  </si>
  <si>
    <t>2.1   PEKERJAAN RANGKA ATAP</t>
  </si>
  <si>
    <t>2.1.1.1   Pemasangan 1 M²  Atap Pelana Rangka Atap Baja Ringan (Canai Dingin) profil C75</t>
  </si>
  <si>
    <t>Baja ringan dingin C75</t>
  </si>
  <si>
    <t>Batang</t>
  </si>
  <si>
    <t>Paku 12 cm</t>
  </si>
  <si>
    <t>2.2.1  Struktur Atas</t>
  </si>
  <si>
    <t>2.2.1.1   Penulangan Beton</t>
  </si>
  <si>
    <t xml:space="preserve">2.2.1.1.1   1 Kg Penulangan slab untuk BjTP atau BjTS diameter &lt; 12 mm. cara Manual </t>
  </si>
  <si>
    <t>(Peraturan Menteri PUPR. Nomor 8 Tahun 2023 Lampiran B U.4.6.a.1 (a))</t>
  </si>
  <si>
    <t>BjTP atau BjTS *)</t>
  </si>
  <si>
    <t>Kawat tali beton</t>
  </si>
  <si>
    <t>*) BjTP atau BjTS sesuaikan dengan kebutuhan</t>
  </si>
  <si>
    <t>cara Manual(Peraturan Menteri PUPR. Nomor 8 Tahun 2023 Lampiran B U.4.6.a.3 (a))</t>
  </si>
  <si>
    <t>cara Semi Mekanis (Peraturan Menteri PUPR. Nomor 8 Tahun 2023 Lampiran B U.4.6.a.4 (a))</t>
  </si>
  <si>
    <t>Cutter baja beton</t>
  </si>
  <si>
    <t>Bender baja beton</t>
  </si>
  <si>
    <t>2.2.1.3.3   Pemasangan 1 M² bekisting untuk sloof (3 kali pakai)</t>
  </si>
  <si>
    <t>Paku 5 - 10 cm</t>
  </si>
  <si>
    <t>Minyak bekisting</t>
  </si>
  <si>
    <t>Paku 5-10 cm</t>
  </si>
  <si>
    <t>Paku 5-12 cm</t>
  </si>
  <si>
    <t>Rata - Rata Besi Wiremess Per Kg</t>
  </si>
  <si>
    <t>Balok kayu kelas II</t>
  </si>
  <si>
    <t>2.2.1.3.4   Pemasangan 1 M² bekisting untuk kolom (3 kali pakai)</t>
  </si>
  <si>
    <t>Paku 5 - 12 cm</t>
  </si>
  <si>
    <t>Plywood tebal 12 mm</t>
  </si>
  <si>
    <t>Lembar</t>
  </si>
  <si>
    <t>Dolken (Bambu Besar Ukuran 4 m)</t>
  </si>
  <si>
    <t>2.2.1.3   Pemasangan dan Pembongkaran Bekisting</t>
  </si>
  <si>
    <t xml:space="preserve">Pasir Beton </t>
  </si>
  <si>
    <t>Kerikil</t>
  </si>
  <si>
    <t>Koral beton</t>
  </si>
  <si>
    <t xml:space="preserve">Krikil Koral Beton </t>
  </si>
  <si>
    <t xml:space="preserve">Pasir Beton  </t>
  </si>
  <si>
    <t xml:space="preserve"> </t>
  </si>
  <si>
    <t>K125</t>
  </si>
  <si>
    <t>K175</t>
  </si>
  <si>
    <t>K225</t>
  </si>
  <si>
    <t>2.2.1.5.2   1 M³  beton mutu rendah f'c 15 MPa. Slump (100 ±   25) mm. agregat maks 19 mm secara semi mekanis</t>
  </si>
  <si>
    <t>2.2.1.5.4   1 M³  beton mutu sedang f'c 20 MPa. Slump (100 ±   25) mm. agregat maks 19 mm secara semi mekanis</t>
  </si>
  <si>
    <t>2.2.1.5   Pembuatan s.d. Pengecoran Campuran Beton Secara Semi Mekanis</t>
  </si>
  <si>
    <t>2.2.1.5.1   1 M³  beton mutu rendah f'c 10 MPa. Slump (100 ±   25) mm. agregat maks 19 mm secara semi mekanis</t>
  </si>
  <si>
    <t>Molen/Beton mixer 0.35 M³</t>
  </si>
  <si>
    <t>CATATAN   HSD alat sudah termasuk operator alatnya (tanpa pembantu operator)</t>
  </si>
  <si>
    <t>2.2.2  Struktur Bawah</t>
  </si>
  <si>
    <t>Batu Belah</t>
  </si>
  <si>
    <t>Molen/Beton 0.35 M³ + Bahan</t>
  </si>
  <si>
    <t>3  PEKERJAAN ARSITEKTUR</t>
  </si>
  <si>
    <t>3.1   PEKERJAAN PENUTUP ATAP</t>
  </si>
  <si>
    <t>3.1.1  ATAP GENTENG</t>
  </si>
  <si>
    <t>3.1.1.2   Pemasangan 1 M² Atap Genteng Kodok Jarang Pilang Goodyear</t>
  </si>
  <si>
    <t>Genteng Kodok Goodyear</t>
  </si>
  <si>
    <t>Genteng Bubung</t>
  </si>
  <si>
    <t>3.1.1.6   Pemasangan 1 M¹ Nok/Bubung Genteng Kodok Karang pilang Goodyear</t>
  </si>
  <si>
    <t>M²</t>
  </si>
  <si>
    <t>Paku Biasa  1"</t>
  </si>
  <si>
    <t>3.3.3  Pemasangan 1 M¹ Lisplank Ukuran (3 x 20) cm. Kayu Kamper</t>
  </si>
  <si>
    <t>Paku 5 cm dan 7 cm</t>
  </si>
  <si>
    <t>3.4   PEKERJAAN WATERPROOFING</t>
  </si>
  <si>
    <t>3.3.4  Pemasangan 1 M¹ Lisplank Ukuran (3 x 30) cm. Kayu Kamper</t>
  </si>
  <si>
    <t>Cat Dasar</t>
  </si>
  <si>
    <t>Cat Waterproofing</t>
  </si>
  <si>
    <t>3.5   PEKERJAAN LANGIT-LANGIT (PLAFON)</t>
  </si>
  <si>
    <t>3.5.2.1   Pemasangan 1 M²  Langit-langit (Plafon) Papan Gypsum. Tebal 9 mm</t>
  </si>
  <si>
    <t>Papan Gypsum 120x240 cm</t>
  </si>
  <si>
    <t>Paku Tripleks</t>
  </si>
  <si>
    <t>Paku Biasa ½”-1” (1.5cm -2.5cm)</t>
  </si>
  <si>
    <t>Paku Skrup</t>
  </si>
  <si>
    <t>List Kayu Profil</t>
  </si>
  <si>
    <t>M¹</t>
  </si>
  <si>
    <t>3.5.2.5   Pemasangan 1 M¹ List Langit-langit (Plafon) Kayu Profil</t>
  </si>
  <si>
    <t>3.5.2.6   Pemasangan 1 M¹ List Langit-langit (Plafon) Gypsum</t>
  </si>
  <si>
    <t>3.5.3  RANGKA LANGIT-LANGIT (PLAFON)</t>
  </si>
  <si>
    <t>3.5.3.1   Pemasangan 1 M² Rangka Langit-langit (Plafon) Besi Hollow 40.40</t>
  </si>
  <si>
    <t>Rangka Metal Hollow 40.40</t>
  </si>
  <si>
    <t>Kawat Las</t>
  </si>
  <si>
    <t>Dos</t>
  </si>
  <si>
    <t>Hollow Aluminium   4/4 P. 4 m</t>
  </si>
  <si>
    <t>10% x rangka</t>
  </si>
  <si>
    <t>Paku 7 cm - 10 cm</t>
  </si>
  <si>
    <t>3.6   PEKERJAAN PASANGAN DINDING</t>
  </si>
  <si>
    <t>Biji</t>
  </si>
  <si>
    <t>3.6.5  DINDING BATAKO</t>
  </si>
  <si>
    <t>Batako</t>
  </si>
  <si>
    <t>Besi Angkur Diameter 8</t>
  </si>
  <si>
    <t>3.7   PEKERJAAN PLESTERAN DAN ACIAN</t>
  </si>
  <si>
    <t>3.7.5    Pemasangan 1 M² Plesteran 1SP : 5PP Tebal 15 mm</t>
  </si>
  <si>
    <t>3.7.8    Pemasangan 1 M² Acian</t>
  </si>
  <si>
    <t>3.5.2.4a   Pemasangan 1 M²  Langit-langit (Plafon) PVC  (Analisa PU Tabanan 2023)</t>
  </si>
  <si>
    <t>3.8   PEKERJAAN PENGECATAN DAN PELITURAN</t>
  </si>
  <si>
    <t>3.8.4    Pengecatan 1 M² Bidang Kayu Baru (1 Lapis Plamuur. 1 Lapis Cat Dasar. 2 Lapis Cat Penutup)</t>
  </si>
  <si>
    <t>Menie</t>
  </si>
  <si>
    <t>Plamur</t>
  </si>
  <si>
    <t>Cat Penutup (Emco Gunung)</t>
  </si>
  <si>
    <t>3.4.3  Permukaan tedengan waterproofing ( Analisa PU Tabanan 2023)</t>
  </si>
  <si>
    <t>3.8.5    Pengecatan 1 M² Bidang Kayu Baru (1 Lapis Plamuur. 1 Lapis Cat Dasar. 3 Lapis Cat Penutup)</t>
  </si>
  <si>
    <t>3.8.7    Pelaburan 1 M² Bidang Kayu dengan Pelitur</t>
  </si>
  <si>
    <t>Pelitur</t>
  </si>
  <si>
    <t>Pelitur Jadi</t>
  </si>
  <si>
    <t>Cat Penutup (Vinilex)</t>
  </si>
  <si>
    <t>Cat Penutup (Dulux)</t>
  </si>
  <si>
    <t>3.9   PEKERJAAN PENUTUP LANTAI</t>
  </si>
  <si>
    <t>3.9.4  HOMOGENEOUS TILE</t>
  </si>
  <si>
    <t>Keramik Platinum Ukura n  10  s.d. 15  cm  x 30 cm (1SP : 2PP)</t>
  </si>
  <si>
    <t>3.10  PEKERJAAN PENUTUP DINDING</t>
  </si>
  <si>
    <t>3.10.1 DINDING KERAMIK</t>
  </si>
  <si>
    <t>KEGIATAN</t>
  </si>
  <si>
    <t>:</t>
  </si>
  <si>
    <t xml:space="preserve">PEKERJAAN </t>
  </si>
  <si>
    <t>U R A I A N    P E K E R J A A N</t>
  </si>
  <si>
    <t>VOLUME</t>
  </si>
  <si>
    <t>SAT.</t>
  </si>
  <si>
    <t>Tinggi</t>
  </si>
  <si>
    <t>I.</t>
  </si>
  <si>
    <t>PEKERJAAN PERSIAPAN</t>
  </si>
  <si>
    <t>Pek. Papan Nama Kegiatan</t>
  </si>
  <si>
    <t>PENGADAAN DAN DAN PELAKSANAAN K3</t>
  </si>
  <si>
    <t>Penyiapan RKK, RKPPL, RMLLP, RMPK</t>
  </si>
  <si>
    <t>a.</t>
  </si>
  <si>
    <t>m³</t>
  </si>
  <si>
    <t>Sosialisasi Promosi dan Pelatihan</t>
  </si>
  <si>
    <t>Spanduk (Banner)</t>
  </si>
  <si>
    <t>Lb</t>
  </si>
  <si>
    <t xml:space="preserve">Alat Pelindung Kerja dan Alat Pelindung Diri : </t>
  </si>
  <si>
    <t>Topi Pelindung (Safety Helmet)</t>
  </si>
  <si>
    <t>b.</t>
  </si>
  <si>
    <t>c.</t>
  </si>
  <si>
    <t>Pelindung Pernapasan dan Mulut (Masker)</t>
  </si>
  <si>
    <t>d.</t>
  </si>
  <si>
    <t>Sarung Tangan (Safety Cloves)</t>
  </si>
  <si>
    <t>e.</t>
  </si>
  <si>
    <t xml:space="preserve">Sepatu Keselamatan (Safety Shoes) </t>
  </si>
  <si>
    <t>f.</t>
  </si>
  <si>
    <t xml:space="preserve">Rompi Keselamatan (Safety Vest) </t>
  </si>
  <si>
    <t>Asuransi dan Perizinan</t>
  </si>
  <si>
    <t>Asuransi JKK</t>
  </si>
  <si>
    <t xml:space="preserve">unt </t>
  </si>
  <si>
    <t xml:space="preserve">Personil K3 Konstruksi : </t>
  </si>
  <si>
    <t>PetugasK3 Konstruksi</t>
  </si>
  <si>
    <t>bln</t>
  </si>
  <si>
    <t xml:space="preserve">Fasilitas, sarana dan prasarana kesehatan : </t>
  </si>
  <si>
    <t>II.</t>
  </si>
  <si>
    <t xml:space="preserve">Peralatan P3K </t>
  </si>
  <si>
    <t>Rambu dan Perlengkapan Lalu lintas yang diperlukan atau Manajemen Lalu Lintas</t>
  </si>
  <si>
    <t>Konsultasi dengan Ahli terkait Kesehatan Kontruksi</t>
  </si>
  <si>
    <t>Kegiatan dan pelaralatan terkait Pengendalian Resiko Keselamatan Kontruksi</t>
  </si>
  <si>
    <t>Tembok</t>
  </si>
  <si>
    <t>m²</t>
  </si>
  <si>
    <t>III.</t>
  </si>
  <si>
    <t xml:space="preserve">PEKERJAAN BETON </t>
  </si>
  <si>
    <t>m¹</t>
  </si>
  <si>
    <t>MATA PEMBAYARAN</t>
  </si>
  <si>
    <t>JUMLAH PPN</t>
  </si>
  <si>
    <t>BAHAN  (RP)</t>
  </si>
  <si>
    <t>BAGIAN PEKERJAAN LUMSUM</t>
  </si>
  <si>
    <t>Daftar Pembayaran umum</t>
  </si>
  <si>
    <t>Daftar Pembayaran Penyelenggara Keamanan dan Kesehatan serta Keselamatan Konstruksi</t>
  </si>
  <si>
    <t>Daftar Pembayaran Pekerjaan Utama</t>
  </si>
  <si>
    <t>BAGIAN PEKERJAAN HARGA SATUAN</t>
  </si>
  <si>
    <t>JUMLAH TOTAL</t>
  </si>
  <si>
    <t>TOTAL</t>
  </si>
  <si>
    <t>DIBULATKAN</t>
  </si>
  <si>
    <t>Banner plastik 0.6 x 0.8 M²</t>
  </si>
  <si>
    <t>Pengukuran Dan Bowplang</t>
  </si>
  <si>
    <t>Kotak</t>
  </si>
  <si>
    <t>SUB KEGIATAN</t>
  </si>
  <si>
    <t>PEKERJAAN KAYU</t>
  </si>
  <si>
    <t>V.</t>
  </si>
  <si>
    <t>VI.</t>
  </si>
  <si>
    <t>PEK. PENGGANTUNG DAN PENGUNCI</t>
  </si>
  <si>
    <t>Pek. Kunci Pintu 2 Slag</t>
  </si>
  <si>
    <t>Pek. Engsel Pintu</t>
  </si>
  <si>
    <t>Pek. Grendel Pintu</t>
  </si>
  <si>
    <t>Pek. Engsel Jendela</t>
  </si>
  <si>
    <t>Pek. Grendel Jendela</t>
  </si>
  <si>
    <t>Pek. Kait angin</t>
  </si>
  <si>
    <t>VII.</t>
  </si>
  <si>
    <t xml:space="preserve">PEK. FINISHING </t>
  </si>
  <si>
    <t>Pek. Cat Kayu Dengan Emco</t>
  </si>
  <si>
    <t>VIII.</t>
  </si>
  <si>
    <t>PEK. PLAMBING DAN INSTALASI LISTRIK</t>
  </si>
  <si>
    <t>Pas. Intalasi Listrik</t>
  </si>
  <si>
    <t>Pas. Intalasi Stop Kontak</t>
  </si>
  <si>
    <t>IX.</t>
  </si>
  <si>
    <t>PEK. STYLE BALI</t>
  </si>
  <si>
    <t>3.10.6 RANGKA DINDING</t>
  </si>
  <si>
    <t>3.10.6.1 Pemasangan 1 M² Rangka Besi Hollow Galvanis 40.40 mm. Modul 60 x 120 cm. untuk Partisi</t>
  </si>
  <si>
    <t>Paku Rivet</t>
  </si>
  <si>
    <t>3.11  PEKERJAAN PINTU DAN JENDELA</t>
  </si>
  <si>
    <t>Lem Kayu</t>
  </si>
  <si>
    <t>Paku 1 cm – 2.5 cm</t>
  </si>
  <si>
    <t>3.11.3 KUSEN PINTU DAN JENDELA</t>
  </si>
  <si>
    <t>Paku 10 cm</t>
  </si>
  <si>
    <t>3.11.3.4 Pembuatan dan Pemasangan 1 M¹ Kusen Pintu dan Kusen Jendela Kayu Bingkirai  Ukuran 6 cm x 12 cm</t>
  </si>
  <si>
    <t>3.11.4 AKSESORIS PINTU DAN JENDELA</t>
  </si>
  <si>
    <t>3.11.4.2   Pemasangan 1 Buah Kunci Tanam Biasa</t>
  </si>
  <si>
    <t>3.11.4.5   Pemasangan 1 Buah Engsel Pintu</t>
  </si>
  <si>
    <t>3.11.4.14 Pemasangan 1 Buah Kunci Slot (Grendel) untuk Jendela</t>
  </si>
  <si>
    <t>3.11.4.14a Pemasangan 1 Buah Kunci Slot (Grendel) untuk Pintu</t>
  </si>
  <si>
    <t>Kunci Tanam Biasa (Kunci Pintu + Handle SOLID HP81.02+LC821-40 US32D+DC SCR802-60)</t>
  </si>
  <si>
    <t>Engsel Pintu (Engsel Pintu SOLID EK 09 5" (kupu-kupu)</t>
  </si>
  <si>
    <t>Kunci Slot (Kunci Slot/Grendel SOLID 611 4" SN)</t>
  </si>
  <si>
    <t>3.11.4.15 Pemasangan 1 Buah Engsel Jendela Kupu-Kupu</t>
  </si>
  <si>
    <t>3.11.4.18 Pemasangan 1 Buah Kait Angin</t>
  </si>
  <si>
    <t>3.12  PEKERJAAN KACA</t>
  </si>
  <si>
    <t>3.12.3   Pemasangan 1 M² Kaca Polos Tebal 5 mm</t>
  </si>
  <si>
    <t>Tube</t>
  </si>
  <si>
    <t>Kaca tebal 5 mm</t>
  </si>
  <si>
    <t>Silicone Sealant 300 ml</t>
  </si>
  <si>
    <t>Kaca Tempered 12 mm</t>
  </si>
  <si>
    <t>3.12.13 Pemasangan 1 M² Kaca Tempered Tebal 12 mm</t>
  </si>
  <si>
    <t>Pemcu</t>
  </si>
  <si>
    <t>Lebar 1/2 Melintang</t>
  </si>
  <si>
    <t>Kepojok</t>
  </si>
  <si>
    <r>
      <t xml:space="preserve">Sudut </t>
    </r>
    <r>
      <rPr>
        <sz val="12"/>
        <rFont val="Calibri"/>
        <family val="2"/>
      </rPr>
      <t>α</t>
    </r>
  </si>
  <si>
    <t>Tan α</t>
  </si>
  <si>
    <t>Pemucu</t>
  </si>
  <si>
    <t>PELUMAS</t>
  </si>
  <si>
    <t>I</t>
  </si>
  <si>
    <t>PEKERJAAN BONGKARAN</t>
  </si>
  <si>
    <t>Pek. Bongkaran Atap dan Plafond</t>
  </si>
  <si>
    <t>Pek. Bongkaran Keramik</t>
  </si>
  <si>
    <t>II</t>
  </si>
  <si>
    <t xml:space="preserve">PEKERJAAN KAYU DAN ATAP </t>
  </si>
  <si>
    <t xml:space="preserve">PEK. PLAFOND DAN LANTAI </t>
  </si>
  <si>
    <t>11.6.1  Pemasangan 1 M² Batu Candi Style Bali</t>
  </si>
  <si>
    <t>11..7.1  Pengecatan 1 M² Pelapisan Batu Alam (Coathing)</t>
  </si>
  <si>
    <t>Cat Coathing Propan</t>
  </si>
  <si>
    <t>Tangga</t>
  </si>
  <si>
    <t>Formika</t>
  </si>
  <si>
    <t>Kloset duduk " TOTO Type CW 660J / SW 660J COMPLIT</t>
  </si>
  <si>
    <t>Batu karang</t>
  </si>
  <si>
    <t>Pipa Galvanis 1"</t>
  </si>
  <si>
    <t>Isolasi</t>
  </si>
  <si>
    <t>Tee dos clipsal 20 mm</t>
  </si>
  <si>
    <t>Blacksem 1"</t>
  </si>
  <si>
    <t>Sok Galvanis 1"</t>
  </si>
  <si>
    <t>Kawat BC 50 mm2</t>
  </si>
  <si>
    <t>Klem Begel 1"</t>
  </si>
  <si>
    <t>Klem sisir 50 mm2</t>
  </si>
  <si>
    <t>Kotak Kontrol 10 cm x 15 cm</t>
  </si>
  <si>
    <t>Perluv sok 1"</t>
  </si>
  <si>
    <t>Pipa Conduit PVC 3/4"</t>
  </si>
  <si>
    <t>-</t>
  </si>
  <si>
    <t>OB</t>
  </si>
  <si>
    <t>Tukang alumunium/ kaca</t>
  </si>
  <si>
    <t>Pintu</t>
  </si>
  <si>
    <t>Pas. Penangkal Petir</t>
  </si>
  <si>
    <t>Almari</t>
  </si>
  <si>
    <t>Dalam</t>
  </si>
  <si>
    <t>JUMLAH HARGA TENAGA KERJA</t>
  </si>
  <si>
    <t>Profil Aluminium 4 inch</t>
  </si>
  <si>
    <t>Sekrup Fixer</t>
  </si>
  <si>
    <t>Sealant</t>
  </si>
  <si>
    <t>3.6.5.2   Pemasangan 1 M²  Dinding Batako dengan Mortar Tipe N.fc’ 5.2 Mpa (Setara Campuran 1SP : 4PP) (Tanpa anker)</t>
  </si>
  <si>
    <t>TABEL PERHITUNGAN IURAN JAMINAN KECELAKAAN KERJA (JKK)</t>
  </si>
  <si>
    <t>MENURUT PERATURAN BUPATI NOMOR 73 TAHUN 2021, PASAL 16</t>
  </si>
  <si>
    <t>PAKET PEKERJAAN</t>
  </si>
  <si>
    <t>NILAI PROYEK</t>
  </si>
  <si>
    <t>Nilai Proyek</t>
  </si>
  <si>
    <t>Program</t>
  </si>
  <si>
    <t>Iuran Per Program</t>
  </si>
  <si>
    <t>Ket.</t>
  </si>
  <si>
    <t>0  s/d  100 jt</t>
  </si>
  <si>
    <t>JKK</t>
  </si>
  <si>
    <t>x</t>
  </si>
  <si>
    <t>=</t>
  </si>
  <si>
    <t>(A)</t>
  </si>
  <si>
    <t>100 jt  s/d  500 jt</t>
  </si>
  <si>
    <t>+</t>
  </si>
  <si>
    <t>(</t>
  </si>
  <si>
    <t>)</t>
  </si>
  <si>
    <t>(B)</t>
  </si>
  <si>
    <t xml:space="preserve">500 jt  s/d  1 Mil. </t>
  </si>
  <si>
    <t>(C)</t>
  </si>
  <si>
    <t xml:space="preserve">1 Mil.  s/d  5 Mil. </t>
  </si>
  <si>
    <t>(D)</t>
  </si>
  <si>
    <t>&gt; 5 Milyar</t>
  </si>
  <si>
    <t>Plamur Kayu</t>
  </si>
  <si>
    <t>Plamur Tembok</t>
  </si>
  <si>
    <t>3.8.11a  Pengecatan 1 M²  Tembok Lama (1 Lapis Cat Dasar. 2 Lapis Cat Penutup)(Dengan Dulux Dalam Ruangan)</t>
  </si>
  <si>
    <t>3.8.10  Pengecatan 1 M² Tembok Baru (1 Lapis Plamuur. 1 Lapis Cat Dasar 2 Lapis Cat Penutup) (Dengan Dulux Luar Ruangan)</t>
  </si>
  <si>
    <t>3.8.10a  Pengecatan 1 M² Tembok Baru (1 Lapis Plamuur. 1 Lapis Cat Dasar 2 Lapis Cat Penutup) (Dengan Dulux Dalam  Ruangan)</t>
  </si>
  <si>
    <t>3.8.11  Pengecatan 1 M²  Tembok Lama (1 Lapis Cat Dasar. 2 Lapis Cat Penutup) (Dengan Dulux Luar Ruangan)</t>
  </si>
  <si>
    <t>3.8.20  Pengecatan 1 M²  Plafond  (1 Lapis Cat Dasar dan 2 Lapis Cat Penutup) (Dulux)</t>
  </si>
  <si>
    <t>Keramik 60 x 60 cm</t>
  </si>
  <si>
    <t>3.5.3.2   Pemasangan 1 M² Rangka Langit-langit (Plafon) Hollow Aluminium 40.40  P. 4 m  (Analisa  2023)</t>
  </si>
  <si>
    <t>Pemasangan 1 m2 Lantai Ubin Granit Ukuran 60 cm x 60 cm (1SP : 2PP)</t>
  </si>
  <si>
    <t>Pemasangan 1 m’ Plint Ubin Granit Ukuran 10 s.d. 15 cm x 60 cm (1SP : 2PP)</t>
  </si>
  <si>
    <t>3.9.4.4    Pemasangan  1  M¹  Plint Keramik Platinum  Ukuran  10  s.d. 15  cm  x 60 cm (1SP : 2PP)</t>
  </si>
  <si>
    <t>3.9.4.1   Pemasangan 1 M²  Lantai Keramik Platinum Ukuran 60 x 60 cm (1SP : 2PP)</t>
  </si>
  <si>
    <t>Keramik Platinum 60x60cm</t>
  </si>
  <si>
    <t xml:space="preserve">3.11.3 KUSEN PINTU DAN JENDELA
</t>
  </si>
  <si>
    <t xml:space="preserve">
3.11.3.1 Pemasangan 1 M¹ Kusen Aluminium</t>
  </si>
  <si>
    <t>Pek. Bongkaran Pintu dan Jendela</t>
  </si>
  <si>
    <t>Pek. Bongkaran Partisi</t>
  </si>
  <si>
    <t>Pintu Utama</t>
  </si>
  <si>
    <t>Kolom</t>
  </si>
  <si>
    <t>Pek.Pasang Kembali Pintu Utama</t>
  </si>
  <si>
    <t>Tukang Kaca</t>
  </si>
  <si>
    <t>Rangka Aluminium</t>
  </si>
  <si>
    <t>Kaca 10 mm Bening</t>
  </si>
  <si>
    <t xml:space="preserve">Keramik Platinum 60 x 60 </t>
  </si>
  <si>
    <t>3.10.2.32  Pemasangan 1 M² Dinding Keramik Platinum Ukuran 60 cm x 60 cm (1SP : 2PP)</t>
  </si>
  <si>
    <t>Keramik 60 x 60 cm Antiselip</t>
  </si>
  <si>
    <t>Keramik Platinum 60x60cm Antiselip</t>
  </si>
  <si>
    <t>3.9.4.1a   Pemasangan 1 M²  Lantai Keramik Platinum Ukuran 60 x 60 cm (1SP : 2PP) Antiselip</t>
  </si>
  <si>
    <t>Batu tempel terracotta 20x20 cm</t>
  </si>
  <si>
    <t>A.4.4.3.53G Pemasangan 1 m2 dinding batu terracotta 20 cm x 20 cm (Pakai Dinding Keramik 20x20)</t>
  </si>
  <si>
    <t>KM</t>
  </si>
  <si>
    <t>Lorong</t>
  </si>
  <si>
    <t>A.8.4.6.32 Pemasangan 1 unit penangkal petir ( 1 blitzem + 3 tombak )</t>
  </si>
  <si>
    <t>BIAYA PASANG</t>
  </si>
  <si>
    <t xml:space="preserve">Biaya Pasang Instalasi </t>
  </si>
  <si>
    <t>Biaya pengeboran</t>
  </si>
  <si>
    <t>JUMLAH BIAYA PASANG</t>
  </si>
  <si>
    <t>Overhead &amp; Profit</t>
  </si>
  <si>
    <t>G</t>
  </si>
  <si>
    <t>Dibulatkan</t>
  </si>
  <si>
    <t>Sewa Scapolding</t>
  </si>
  <si>
    <t>Flexible Hose</t>
  </si>
  <si>
    <t>3.18.5.3 Pemasangan 1 Buah Bak Fibreglass Volume 0.3 M³</t>
  </si>
  <si>
    <t>Stop Keran PVC 3/4"</t>
  </si>
  <si>
    <t>Sealtape</t>
  </si>
  <si>
    <t>Teras</t>
  </si>
  <si>
    <t>Lobi</t>
  </si>
  <si>
    <t>List Gypsum C7</t>
  </si>
  <si>
    <t>Luar</t>
  </si>
  <si>
    <t>Tenaga Kerja</t>
  </si>
  <si>
    <t>Jumlah Harga Tenaga Kerja</t>
  </si>
  <si>
    <t>Kabel NYM 3 x 2.5 mM²</t>
  </si>
  <si>
    <t>Conduit HI 20 mm</t>
  </si>
  <si>
    <t>T Dus</t>
  </si>
  <si>
    <t>Socket Conduit 20 mm</t>
  </si>
  <si>
    <t>Klem 20 mm</t>
  </si>
  <si>
    <t>Fischer S6 + sekrup</t>
  </si>
  <si>
    <t>Flexible Conduit 20 mm</t>
  </si>
  <si>
    <t>Elbow</t>
  </si>
  <si>
    <t>Lasdop</t>
  </si>
  <si>
    <t>Jumlah Harga Bahan</t>
  </si>
  <si>
    <t>Pek. Beton Ring 15/15    Campuran 1 : 2 : 3  (Atas Ring)</t>
  </si>
  <si>
    <t>Begesting Sloof Pakai 3 kali</t>
  </si>
  <si>
    <t>Pas. Downlight DQ/MBR/002(Dia 145 mm)Hori Lampu LED 10 watt  philips</t>
  </si>
  <si>
    <t>PENINGKATAN KUALITAS DAN KUANTITAS PERGURUAN TINGGI</t>
  </si>
  <si>
    <t>LOKASI</t>
  </si>
  <si>
    <t>Total</t>
  </si>
  <si>
    <t>Lampu TL 2x18 watt RMI Philips TL LED + Kap</t>
  </si>
  <si>
    <t>Terpasang</t>
  </si>
  <si>
    <t>5.5.4.11 Pemasangan 1 m Pipa PVC AW ; Dia. 1/2" ; (15 mm)</t>
  </si>
  <si>
    <t>PIPA PVC AW ; Dia. 1/2" ; (15 mm) dan aksesoris</t>
  </si>
  <si>
    <t>5.5.4.12 Pemasangan 1 m Pipa PVC AW ; Dia. 3/4" ; (20 mm)</t>
  </si>
  <si>
    <t>PIPA PVC AW ; Dia. 3/4" ; (20 mm) dan aksesoris</t>
  </si>
  <si>
    <t>5.5.4.17 Pemasangan 1 m Pipa PVC AW ; Dia. 2-1/2" ; (65 mm)</t>
  </si>
  <si>
    <t>PIPA PVC AW ; Dia. 2-1/2" ; (65 mm) dan aksesoris</t>
  </si>
  <si>
    <t>5.5.4.19 Pemasangan 1 m Pipa PVC AW ; Dia. 4" ; (100 mm)</t>
  </si>
  <si>
    <t>PIPA PVC AW ; Dia. 4" ; (65 mm) dan aksesoris</t>
  </si>
  <si>
    <t>Saklar Tunggal dan aksesoris</t>
  </si>
  <si>
    <t>5.1.5.2   Pemasangan 1 Unit Saklar Ganda</t>
  </si>
  <si>
    <t>Saklar Ganda dan aksesoris</t>
  </si>
  <si>
    <t>Stop Kontak 1 P. 10 A. 200 W + cover dan aksesoris</t>
  </si>
  <si>
    <t>5.1.5.10 Pemasangan 1 Unit Stop Kontak  1 Lobang</t>
  </si>
  <si>
    <t>5.1.5.10a Pemasangan 1 Unit Stop Kontak  3 Lobang</t>
  </si>
  <si>
    <t>5.1.5.12 Pemasangan 1 Unit Stop Kontak AC</t>
  </si>
  <si>
    <t>Stop Kontak AC dan aksesoris</t>
  </si>
  <si>
    <t>Saklar Tunggal (Clipsal)</t>
  </si>
  <si>
    <t>Saklar Ganda (Clipsal)</t>
  </si>
  <si>
    <t>Stop Kontak AC (Clipsal)</t>
  </si>
  <si>
    <t>Stop Kontak  1 Lobang (Clipsal)</t>
  </si>
  <si>
    <t>Stop Kontak 3 Lobang (Clipsal)</t>
  </si>
  <si>
    <t>5.1.5.1   Pemasangan 1 Unit Saklar Tunggal</t>
  </si>
  <si>
    <t>5.3.1.1   Pemasangan 1 titik Instalasi Lampu</t>
  </si>
  <si>
    <t>Paku/Sekrup 5cm</t>
  </si>
  <si>
    <t>Kalsiplinth Tebal 8 mm Lebar 10 cm</t>
  </si>
  <si>
    <r>
      <t>m</t>
    </r>
    <r>
      <rPr>
        <sz val="12"/>
        <color theme="1"/>
        <rFont val="Times New Roman"/>
        <family val="1"/>
      </rPr>
      <t>¹</t>
    </r>
  </si>
  <si>
    <t>Kalsiboard (6 x 1200 x 2400) mm</t>
  </si>
  <si>
    <t>3.11.4.6   Pemasangan 1 Buah Engsel Tanam (Floor Hinge)</t>
  </si>
  <si>
    <t>Floor Hinge</t>
  </si>
  <si>
    <t xml:space="preserve">Floor Hinges </t>
  </si>
  <si>
    <t>IV.</t>
  </si>
  <si>
    <t>Konsultan Perencana</t>
  </si>
  <si>
    <t>CV. BALI BECIK</t>
  </si>
  <si>
    <t>NI NENGAH SUKASIH, ST</t>
  </si>
  <si>
    <t>Direktris</t>
  </si>
  <si>
    <t>PEJABAT PEMBUAT KOMITMEN</t>
  </si>
  <si>
    <t>PENGADAAN BARANG/JASA KONSTRUKSI</t>
  </si>
  <si>
    <t>UNIVERSITAS UDAYANA</t>
  </si>
  <si>
    <t>LIE JASA</t>
  </si>
  <si>
    <t>NIP : 19661218 199103 1 003</t>
  </si>
  <si>
    <t xml:space="preserve">Pek. Beton Kolom 20/20   Campuran 1 : 2 : 3 </t>
  </si>
  <si>
    <t>Pek. Bongkaran dan Pasang kembali AC</t>
  </si>
  <si>
    <t>Pek. Bongkaran Dan Pasang kembali AC</t>
  </si>
  <si>
    <t>11.6.4  Pemasangan 1 M² Bata Gosok Style Bali</t>
  </si>
  <si>
    <t>Bata Gosok</t>
  </si>
  <si>
    <t>3.18.3 PLAMBING</t>
  </si>
  <si>
    <t>5.  ELEKTRCAL</t>
  </si>
  <si>
    <t xml:space="preserve">5.5.4 Pemasangan Pipa </t>
  </si>
  <si>
    <t>5.3.1.2   Pemasangan 1 titik Instalasi Stop Kontak</t>
  </si>
  <si>
    <t>H</t>
  </si>
  <si>
    <t>J</t>
  </si>
  <si>
    <t>K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</si>
  <si>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</si>
  <si>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</si>
  <si>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</si>
  <si>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</si>
  <si>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</si>
  <si>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</si>
  <si>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</si>
  <si>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</si>
  <si>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</si>
  <si>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</si>
  <si>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</si>
  <si>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</si>
  <si>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</si>
  <si>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</si>
  <si>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A.4.7.1.23.  1 M2 Pekerjaan Waterproofing</t>
  </si>
  <si>
    <t>TENAGA</t>
  </si>
  <si>
    <t>Tukang cat/pelitur</t>
  </si>
  <si>
    <t>Kepala tukang</t>
  </si>
  <si>
    <t>Sikabon</t>
  </si>
  <si>
    <t>Sikacoat</t>
  </si>
  <si>
    <t>Kuas star 4"</t>
  </si>
  <si>
    <t>1135000/20kg</t>
  </si>
  <si>
    <t>550000/10kg</t>
  </si>
  <si>
    <t>Sikabond</t>
  </si>
  <si>
    <t>Wastafel Toto LW248JR</t>
  </si>
  <si>
    <t xml:space="preserve">Bahan : Kuda kuda UK 75 (Zam 0,73 dan 0,53 mm ) </t>
  </si>
  <si>
    <t>Kuda kuda ZAM ZG-90, DGN MUTU BAJA g550 Mpa</t>
  </si>
  <si>
    <t>Reng : GD-C ( Zam 0,43 mm)</t>
  </si>
  <si>
    <t>3.18.6.1 Pemasangan 1 Buah Floor Drain</t>
  </si>
  <si>
    <t>3.10.6.3  Pemasangan 1 m2 Rangka Aluminium C 0,75 mm, modul 60x120 cm untuk partisi</t>
  </si>
  <si>
    <t>Plafond UPVC Adaron putih polos</t>
  </si>
  <si>
    <t>Plafond UPVC Adaron motif kayu</t>
  </si>
  <si>
    <t>Print</t>
  </si>
  <si>
    <t>Plafond PVC Adaron</t>
  </si>
  <si>
    <t>Grendel Jedela</t>
  </si>
  <si>
    <t>Floor Drain Stynles</t>
  </si>
  <si>
    <t xml:space="preserve"> ACP t: 4 mm Exterior </t>
  </si>
  <si>
    <t xml:space="preserve"> Hollow 40 x 40 mm </t>
  </si>
  <si>
    <t xml:space="preserve"> Hollow 20 x 40 mm </t>
  </si>
  <si>
    <t>Tukang batu</t>
  </si>
  <si>
    <t xml:space="preserve"> lbr </t>
  </si>
  <si>
    <t xml:space="preserve"> btg </t>
  </si>
  <si>
    <t>A.4.5.2.52. Pekerjaan 1 m Lisplank dan Tatab Seven ACP T= 4 mm Exterior</t>
  </si>
  <si>
    <t>3.5.2.3   Pemasangan 1 M²  Langit-langit (Plafon) Papan Kalsiboard. Tebal 6 mm</t>
  </si>
  <si>
    <t>3.5.2.2   Pemasangan 1 M²  Langit-langit (Plafon) Papan Kalsiboard. Tebal 4.5 mm</t>
  </si>
  <si>
    <t>Kalsiboard (6 x 1220 x 2420) mm</t>
  </si>
  <si>
    <t>Kayu Kamper Papan</t>
  </si>
  <si>
    <t>Kaca teba10 mm</t>
  </si>
  <si>
    <t>3.12.5   Pemasangan 1 M² Kaca Polos Tebal 10 mm</t>
  </si>
  <si>
    <t>2.2.1.1.3   1 Kg Penulangan Begelatau Pelat untuk BjTP atau BjTS diameter 8cm  ( &lt; 12 mm. }</t>
  </si>
  <si>
    <t>2.2.1.1.4   1 Kg Penulangan kolom. balok. ring balk. dan sloof untuk BjTP atau BjTS diameter 13 cm  ( ≥ 12 mm. )</t>
  </si>
  <si>
    <t>List Kayu Kamperr Profil 1.5/7 cm P = 4 m</t>
  </si>
  <si>
    <t>Papan Kayu kelas II</t>
  </si>
  <si>
    <t>Zink Royal SB 38 (Sayap 86 x 43 x 15.5)</t>
  </si>
  <si>
    <t>3.18.1.1 Pemasangan 1 Buah Kitchen Zink Royal SB 38 (Sayap 86 x 43 x 15.5)</t>
  </si>
  <si>
    <t>3.18.1.1 Pemasangan 1 Buah Wastafel  Toto LW248JR</t>
  </si>
  <si>
    <t>Pas. Wastafel Toto LW248JR</t>
  </si>
  <si>
    <t>3.18.3.1 Pemasangan 1 Buah Closet Duduk/Monoblock TOTO Type CW 660J / SW 660J COMPLIT</t>
  </si>
  <si>
    <t>Kloset Duduk TOTO Type CW 660J / SW 660J COMPLIT</t>
  </si>
  <si>
    <t>Pas. Kloset Duduk TOTO Type CW 660J / SW 660J COMPLIT</t>
  </si>
  <si>
    <t>3.18.4.1 Pemasangan 1 Buah Urinoir TOTO U 57 M</t>
  </si>
  <si>
    <t>Urinoir  TOTO U 57 MLengkap</t>
  </si>
  <si>
    <t>Bak Fibreglass Volume 0.3 M³</t>
  </si>
  <si>
    <t>3.18.6.1 Pemasangan 1 Buah Floor Drain Stynles</t>
  </si>
  <si>
    <t>Pas. Flourdrain Stynles</t>
  </si>
  <si>
    <t>3.18.6.2 Pemasangan 1 Buah Kran Air Onda  ½" CLS4</t>
  </si>
  <si>
    <t>Kran Air Onda  ½" CLS4</t>
  </si>
  <si>
    <t>Pas. Krant Air Onda  ½" CLS4</t>
  </si>
  <si>
    <t>Jet Washer  TOTO THX20NB</t>
  </si>
  <si>
    <t>3.18.6.3 Pemasangan 1 Buah Jet Washer  TOTO THX20NB</t>
  </si>
  <si>
    <t>Pas. Jat Washer  TOTO THX20NB</t>
  </si>
  <si>
    <t>Kran Air Wastafel TOTO  TX109 KEA</t>
  </si>
  <si>
    <t>Kran Air Kitchen Zinkl TOTO  TX609K</t>
  </si>
  <si>
    <t xml:space="preserve">Kran Air TOTO  TX109 KEA Diameter ½” </t>
  </si>
  <si>
    <t xml:space="preserve">Pas. Krant Wastafel TOTO  TX109 KEA Diameter ½” </t>
  </si>
  <si>
    <t xml:space="preserve">Kran Air TOTO  TX609K Diameter ½” </t>
  </si>
  <si>
    <t xml:space="preserve">3.18.6.2a Pemasangan 1 Buah Kran Wastafel TOTO  TX109 KEA Diameter ½” </t>
  </si>
  <si>
    <t xml:space="preserve">3.18.6.2b Pemasangan 1 Buah Kran Wastafel TOTO  TX609K Diameter ½” </t>
  </si>
  <si>
    <t>Pipa PVC 1/2"</t>
  </si>
  <si>
    <t>RENCANA ANGGARAN BIAYA  (RAB)</t>
  </si>
  <si>
    <t>TAGUN</t>
  </si>
  <si>
    <t>JUMLAH</t>
  </si>
  <si>
    <t>SATUAN  (RP.)</t>
  </si>
  <si>
    <t>HARGA  (RP.)</t>
  </si>
  <si>
    <t>Pembuatan Prosdur dan Intruksi Kerja</t>
  </si>
  <si>
    <t>Pelindung Mata (Goggles Specktacles)</t>
  </si>
  <si>
    <t>LANTAI  I</t>
  </si>
  <si>
    <t>PEKERJAAN,  PASANGAN DAN PLESTERAN</t>
  </si>
  <si>
    <t>Pas. Tembok Bataco  1pc : 4 psr</t>
  </si>
  <si>
    <t>Pek.  Plesteran   1pc : 5 psr</t>
  </si>
  <si>
    <t>Pek.  Acian</t>
  </si>
  <si>
    <t>Pek. Daun Jendela Kaca 5mm Bingkai Kamper</t>
  </si>
  <si>
    <t>Pek. Daun Pintu Panil Kamper</t>
  </si>
  <si>
    <t>Pek. Daun Pintu Teakwood Rangkap Lapis Formika, Rangka expose Kayu Kamper</t>
  </si>
  <si>
    <t>Pek. Kaca Mati 5 mm</t>
  </si>
  <si>
    <t>Pek. Partisi</t>
  </si>
  <si>
    <t>PEKEKERJAAN   LANTAI DAN DINDING</t>
  </si>
  <si>
    <t xml:space="preserve">Pas.  Lantai Granit Cina  60x60  </t>
  </si>
  <si>
    <t xml:space="preserve">Pas. Lantai Teras Granit Cina  60x60   anti selip </t>
  </si>
  <si>
    <t xml:space="preserve">Pas. Plin Granit Cina  10x60 </t>
  </si>
  <si>
    <t xml:space="preserve">Pas. Granit Tangga dan Bordes  60x60   anti selip </t>
  </si>
  <si>
    <t xml:space="preserve">Pas. Lantai KM  Granit Cina  60x60   anti selip </t>
  </si>
  <si>
    <t xml:space="preserve">Pas. Dinding KM  Granit Cina  60x60  </t>
  </si>
  <si>
    <t>PEKEKERJAAN PLAFOND</t>
  </si>
  <si>
    <t xml:space="preserve">Pek.  Penutup Plafond Gypsum 9 mm Rangka Hollo </t>
  </si>
  <si>
    <t>Pek.  Penutup Plafond Calsiboard 4.5 mm</t>
  </si>
  <si>
    <t>Pek. Cat tembok dgn Vinilex</t>
  </si>
  <si>
    <t>Pek. Cat plafond dgn Vinilex</t>
  </si>
  <si>
    <t>Pas. Intalasi Stop Kontak AC</t>
  </si>
  <si>
    <t>Pas. Stop Kontak  Clipsal</t>
  </si>
  <si>
    <t>Pas. Stop Kontak AC  Clipsal</t>
  </si>
  <si>
    <t>Pas. Saklar Tunggal  Clipsal</t>
  </si>
  <si>
    <t>Pas. Saklar Ganda  Clipsal</t>
  </si>
  <si>
    <t>Pas. Lampu Downlight 5 Inch 10 Watt LED</t>
  </si>
  <si>
    <t>Pas. Lampu Downlight 5 Inch 19 Watt LED</t>
  </si>
  <si>
    <t>Pas. Box Panel Panel</t>
  </si>
  <si>
    <t xml:space="preserve">Pas. MCB 1 </t>
  </si>
  <si>
    <t>X.</t>
  </si>
  <si>
    <t>LANTAI  II</t>
  </si>
  <si>
    <t>Pek. Kusen Kamper 5/11</t>
  </si>
  <si>
    <t>Pek. Kap Baja Ringan UK75</t>
  </si>
  <si>
    <t>Pek. Baja Ringan C75 Pemegang Lisplank</t>
  </si>
  <si>
    <t>Pek. Lisplank   3/30</t>
  </si>
  <si>
    <t>Pek. Lisplank   3/10</t>
  </si>
  <si>
    <t>Pek. Tatab  + Ring ring  3/20</t>
  </si>
  <si>
    <t>Pas. Genteng Karang Pilang Good Year</t>
  </si>
  <si>
    <t>Pas. Bubungan Genteng Kaaaaaarang Pilang</t>
  </si>
  <si>
    <t>Pas. Murda Paras Ukir</t>
  </si>
  <si>
    <t>Pas. Ikut celedu Paras Ukir</t>
  </si>
  <si>
    <t xml:space="preserve">Pek.  Rangka Plafond Hollo </t>
  </si>
  <si>
    <t>Pek.  Penutup Plafond Gypsum 9 mm</t>
  </si>
  <si>
    <t>PEK. PLAMBING DANINSTALASI LISTRIK</t>
  </si>
  <si>
    <t>tbk</t>
  </si>
  <si>
    <t>PERENCANAAN PERBAIKAN ATAP GEDUNG FH BUKIT JIMBARAN</t>
  </si>
  <si>
    <t>KAMPUS UNUD BUKIT JIMBARAN</t>
  </si>
  <si>
    <r>
      <t xml:space="preserve">Kran Onda </t>
    </r>
    <r>
      <rPr>
        <sz val="12"/>
        <color theme="1"/>
        <rFont val="Times New Roman"/>
        <family val="1"/>
      </rPr>
      <t>½" CLS4</t>
    </r>
  </si>
  <si>
    <t>Bubungan Segitiga Karang Pilang (Glasur)</t>
  </si>
  <si>
    <t>Kayu Kamper Balok</t>
  </si>
  <si>
    <t>3.7.9    Pemasangan 1 M²  finishing siar pasangan batu kali, campuran 1SP : 2PP</t>
  </si>
  <si>
    <t>Lem Kayu Aibond</t>
  </si>
  <si>
    <t>Pintu P1</t>
  </si>
  <si>
    <t>P2</t>
  </si>
  <si>
    <t>Pintu KM Luar</t>
  </si>
  <si>
    <t>Pkm Dalam</t>
  </si>
  <si>
    <t>Pek. Daun Pintu Kaca 12mm Bingkai Kamper  Pu dan P1</t>
  </si>
  <si>
    <t>Masuk Ruang P2</t>
  </si>
  <si>
    <t>Masuk KM</t>
  </si>
  <si>
    <t>Pek.  Plesteran   1pc : 6 psr</t>
  </si>
  <si>
    <t>Pj2</t>
  </si>
  <si>
    <t>Pj3</t>
  </si>
  <si>
    <t>JV1</t>
  </si>
  <si>
    <t>JV2</t>
  </si>
  <si>
    <t>J2</t>
  </si>
  <si>
    <t>V1</t>
  </si>
  <si>
    <t>V2</t>
  </si>
  <si>
    <t>Jendela</t>
  </si>
  <si>
    <t>Pek. Usuk Pemegang Lisplank</t>
  </si>
  <si>
    <t>Grantang</t>
  </si>
  <si>
    <t>Pas. Bubungan Genteng Karang Pilang</t>
  </si>
  <si>
    <t xml:space="preserve">Ruangan </t>
  </si>
  <si>
    <t>Muka Belakang</t>
  </si>
  <si>
    <t>Depan</t>
  </si>
  <si>
    <t>Volume</t>
  </si>
  <si>
    <t>1.7.1  Penggalian 1 M³  tanah berbatu sedalam &gt; 0 s.d. 1 m (Peraturan Menteri PUPR. Nomor 8 Tahun 2023 Lampiran B U.3.4.2.a.1 (a))</t>
  </si>
  <si>
    <t>1.7.2  Penggalian 1 M³   tanah berbatu sedalam &gt; 1 s.d. 2 m (Peraturan Menteri PUPR. Nomor 8 Tahun 2023 Lampiran B U.3.4.2.a.2 (a))</t>
  </si>
  <si>
    <t>1.7.3  Penggalian 1 M³    tanah berbatu sedalam &gt; 2 s.d. 3 m (Peraturan Menteri PUPR. Nomor 8 Tahun 2023 Lampiran B U.3.4.2.a.3 (a))</t>
  </si>
  <si>
    <t>1.7   PEKERJAAN TANAH</t>
  </si>
  <si>
    <t>1.7.6  Mengangkut 1 M³ tanah lepas. jarak angkut &gt;30 s.d 40 m (Peraturan Menteri PUPR. Nomor 8 Tahun 2023 Lampiran B U.3.6.a.4 (a))</t>
  </si>
  <si>
    <t>Pasir uruk</t>
  </si>
  <si>
    <t>1.7.5  1 M³  Urukan dengan Pasir Uruk untuk volume s.d 200 M³ tanpa pemadatan secara manual (Peraturan Menteri PUPR. Nomor 8 Tahun 2023 Lampiran B U.3.5.1.b (c))</t>
  </si>
  <si>
    <t xml:space="preserve">Alat Bantu dan Mobilisasi </t>
  </si>
  <si>
    <t>Zak</t>
  </si>
  <si>
    <t xml:space="preserve">Koral Sikat Lokal (10 Kg) </t>
  </si>
  <si>
    <t>Koral Sikat ALokal (8 Kg)</t>
  </si>
  <si>
    <t>3.9.4.6    Pemasangan  1  M²  Pemasangan 1 m2 Koral Sikat  ( Lokal )</t>
  </si>
  <si>
    <t>3.9.4.5   Pemasangan 1 M¹ Plint  Kalsiplinth Tebal 8 mm Lebar 10 cm</t>
  </si>
  <si>
    <t xml:space="preserve">3.9.4.7    Pemasangan  1  M²  Paving block (Blok Beton) Natural Tebal 8 cm f'c 25 MPa </t>
  </si>
  <si>
    <t>Paving Block 20x20 Tebal 8 cm f'c 25 MPa</t>
  </si>
  <si>
    <t>Pasir Urug</t>
  </si>
  <si>
    <t>Uraian</t>
  </si>
  <si>
    <t>Harga Satuan
(Rp)</t>
  </si>
  <si>
    <t>Jumlah
Harga
(Rp)</t>
  </si>
  <si>
    <t xml:space="preserve">Kayu bekesting   (Lepasan merah)    </t>
  </si>
  <si>
    <t>Besi beton</t>
  </si>
  <si>
    <t>Kawat beton RRT</t>
  </si>
  <si>
    <t xml:space="preserve">Semen Gresik 50 kg </t>
  </si>
  <si>
    <t>Pasir beton / cor Ex. 4 per 2,75 M3</t>
  </si>
  <si>
    <t>Koral Beton 2/3 Ex. 4 per 2,75 M3</t>
  </si>
  <si>
    <t>2.2.1.6.1 Membuat 1 m’ kolom praktis beton bertulang (11 x 11) cm</t>
  </si>
  <si>
    <t>2.2.1.6.2 Membuat 1 m’ ring balok beton bertulang (10 x 15) cm</t>
  </si>
  <si>
    <t>Kayu bingkirai papan</t>
  </si>
  <si>
    <t>Lem kayu</t>
  </si>
  <si>
    <t>3.11.2.1 Pembuatan dan pemasangan 1 m2 frame pintu kaca dan frame jendela kaca, kayu kamper</t>
  </si>
  <si>
    <t>3.11.2.2 Pembuatan 1 M² Daun Pintu Panel. Kayu Kamper</t>
  </si>
  <si>
    <t>Kaca  12 mm Bening</t>
  </si>
  <si>
    <t>Pek. Daun Pintu Kaca 10 mm Bingkai Kamper</t>
  </si>
  <si>
    <t>Rangka Baja Ringan C 0,75 mm</t>
  </si>
  <si>
    <t>2.2.2.1.12  Pemasangan 1 M³ Fondasi Batu Belah campuran 1 SP : 5 PP. cara semi mekanis</t>
  </si>
  <si>
    <t xml:space="preserve">Pek.  List Plafond </t>
  </si>
  <si>
    <t>Pek.  List Plafond Dalam</t>
  </si>
  <si>
    <t>Tembok Luar</t>
  </si>
  <si>
    <t>Pas. Papan Canter</t>
  </si>
  <si>
    <t>Pek.  List Plafond Gypsum 7/7 diprofil</t>
  </si>
  <si>
    <t>Pek.  List Plafond Kayu 1.5/7 diprofil</t>
  </si>
  <si>
    <t>Pas. Plint Kalsiplank</t>
  </si>
  <si>
    <t xml:space="preserve">Pas.  Lantai KM Keramik Platinum  60x60  </t>
  </si>
  <si>
    <t>Pas. Downlight DQ/MBR/002(Dia 145 mm)Hori Lampu LED 19 watt  philips</t>
  </si>
  <si>
    <t>Pek. Cat plafond dgn Dulux</t>
  </si>
  <si>
    <t>Pek. Cat Tembok Lama dgn Dulux</t>
  </si>
  <si>
    <t>Pek. Lisplank dan Tatab Seven ACP</t>
  </si>
  <si>
    <t>Pek. Tatab  + Ring ring  Seven ACP</t>
  </si>
  <si>
    <t>Pj</t>
  </si>
  <si>
    <t>Atas Tangga</t>
  </si>
  <si>
    <t>Belakang Tangga</t>
  </si>
  <si>
    <t>Pek. Cat Partisi dgn Dulux</t>
  </si>
  <si>
    <t>Pek. Cat Partisi</t>
  </si>
  <si>
    <t xml:space="preserve">Pek. List Kaca </t>
  </si>
  <si>
    <t>Papan Ram Samping</t>
  </si>
  <si>
    <t>Jendela Jv1</t>
  </si>
  <si>
    <t>Pek. Lis Kaca</t>
  </si>
  <si>
    <t>Luat</t>
  </si>
  <si>
    <t>Pu</t>
  </si>
  <si>
    <t>P1</t>
  </si>
  <si>
    <t>Pdepan KM</t>
  </si>
  <si>
    <t>PKM</t>
  </si>
  <si>
    <t>VK1</t>
  </si>
  <si>
    <t>VK2</t>
  </si>
  <si>
    <t>Bawah Lantai</t>
  </si>
  <si>
    <t>Balok Induk</t>
  </si>
  <si>
    <t>Balok Anak</t>
  </si>
  <si>
    <t>Konsol</t>
  </si>
  <si>
    <t>Pek.  List Plafond Gypsum</t>
  </si>
  <si>
    <t>Pek. Terakota</t>
  </si>
  <si>
    <t>Ruangan</t>
  </si>
  <si>
    <r>
      <t>m</t>
    </r>
    <r>
      <rPr>
        <sz val="10"/>
        <color rgb="FFFF0000"/>
        <rFont val="Calibri"/>
        <family val="2"/>
      </rPr>
      <t>¹</t>
    </r>
  </si>
  <si>
    <r>
      <t>m</t>
    </r>
    <r>
      <rPr>
        <sz val="10"/>
        <color rgb="FFFF0000"/>
        <rFont val="Calibri"/>
        <family val="2"/>
      </rPr>
      <t>²</t>
    </r>
  </si>
  <si>
    <t>Bongkar Pasang Kipas Angin</t>
  </si>
  <si>
    <t>Pek. Servis Instalasi Air</t>
  </si>
  <si>
    <t>Pek. Servis Intalasi Air</t>
  </si>
  <si>
    <t xml:space="preserve">MCB </t>
  </si>
  <si>
    <t>Pek. Kusen Kayu Bingkirai 5/14</t>
  </si>
  <si>
    <t>Teras Belakang</t>
  </si>
  <si>
    <t>Teras Depan</t>
  </si>
  <si>
    <t>Downlight/ PLC 13 watt</t>
  </si>
  <si>
    <t>5.1.5.13 Pemasangan 1 bh Led  Ultra Thin Downlight DQ-MBR-002  ( Ø145mm) 19 Watt setara Hori</t>
  </si>
  <si>
    <t>Downlight/ PLC 9 watt</t>
  </si>
  <si>
    <t>5.1.5.14 Pemasangan 1 bh Led  Ultra Thin Downlight DQ-MBR-002  ( Ø145mm) 10 Watt setara Hori</t>
  </si>
  <si>
    <t>Kloset</t>
  </si>
  <si>
    <t>PEK. TEMPELAN</t>
  </si>
  <si>
    <t>Teracota</t>
  </si>
  <si>
    <t>Terakota</t>
  </si>
  <si>
    <t>Pek. Cat Bawah dak</t>
  </si>
  <si>
    <t>dgn Vinilex</t>
  </si>
  <si>
    <t>Kamar Mandi</t>
  </si>
  <si>
    <t>Sirip</t>
  </si>
  <si>
    <t>Pek.  Penutup Plafond UPVC Adaron Motif Kayu</t>
  </si>
  <si>
    <t>Inbow dos plastik clipsal E 157 P</t>
  </si>
  <si>
    <t>Bawah Tangga</t>
  </si>
  <si>
    <t>Depan KM</t>
  </si>
  <si>
    <t xml:space="preserve">Pas. Lantai Tangga Keramik Platinum  60x60   anti selip </t>
  </si>
  <si>
    <t>Pas. Lampu Downlight LED Outbow 12 Watt</t>
  </si>
  <si>
    <t>3.8.8    Pelaburan 1 M² Bidang Kayu Lama dengan Pelitur</t>
  </si>
  <si>
    <r>
      <t>m</t>
    </r>
    <r>
      <rPr>
        <sz val="10"/>
        <color rgb="FF002060"/>
        <rFont val="Calibri"/>
        <family val="2"/>
      </rPr>
      <t>²</t>
    </r>
  </si>
  <si>
    <t>Km</t>
  </si>
  <si>
    <t>Tangga &amp; Belakang Lobi</t>
  </si>
  <si>
    <t>Pek. Politur Baru Daun Pintu dgn Politur Uktra</t>
  </si>
  <si>
    <t>Pek. Politur BLama Daun Pintu dgn Politur Uktra</t>
  </si>
  <si>
    <t>Baru</t>
  </si>
  <si>
    <t>Pek. Politur Lama Daun Pintu dgn Politur Uktra</t>
  </si>
  <si>
    <t>Pek. Politur Kayu Lama dgn Politur Uktra</t>
  </si>
  <si>
    <t>Pek. Politur Kayu Baru  dgn Politur Uktra</t>
  </si>
  <si>
    <t>Jumlah Pengadaan dan Pelaksanaan K3</t>
  </si>
  <si>
    <t>Pek. Servis Relling Tangga</t>
  </si>
  <si>
    <r>
      <t xml:space="preserve">Pembesian Begel Ø 12 dan </t>
    </r>
    <r>
      <rPr>
        <sz val="10.5"/>
        <color indexed="8"/>
        <rFont val="Calibri"/>
        <family val="2"/>
      </rPr>
      <t>Ø</t>
    </r>
    <r>
      <rPr>
        <sz val="10.5"/>
        <color indexed="8"/>
        <rFont val="Times New Roman"/>
        <family val="1"/>
      </rPr>
      <t xml:space="preserve"> 8  ( </t>
    </r>
    <r>
      <rPr>
        <sz val="10.5"/>
        <color indexed="8"/>
        <rFont val="Calibri"/>
        <family val="2"/>
      </rPr>
      <t>&lt; 12 )</t>
    </r>
  </si>
  <si>
    <t>Pek. Penutup Partisi Kalsiboard. Tebal 6 mm</t>
  </si>
  <si>
    <t>Pas. Plint Kalsiplin</t>
  </si>
  <si>
    <t>Pek. Rangka Partisi  Aluminium C 0,75 mm, modul 60x120 cm</t>
  </si>
  <si>
    <r>
      <t xml:space="preserve">Pembesian Begel Ø 8 dan </t>
    </r>
    <r>
      <rPr>
        <sz val="10.5"/>
        <color theme="1"/>
        <rFont val="Calibri"/>
        <family val="2"/>
      </rPr>
      <t>Ø</t>
    </r>
    <r>
      <rPr>
        <sz val="10.5"/>
        <color theme="1"/>
        <rFont val="Times New Roman"/>
        <family val="1"/>
      </rPr>
      <t xml:space="preserve"> 8  ( </t>
    </r>
    <r>
      <rPr>
        <sz val="10.5"/>
        <color theme="1"/>
        <rFont val="Calibri"/>
        <family val="2"/>
      </rPr>
      <t>&lt; 12 )</t>
    </r>
  </si>
  <si>
    <t>Mingg 1</t>
  </si>
  <si>
    <t>Mingg  2</t>
  </si>
  <si>
    <t>Mingg 3</t>
  </si>
  <si>
    <t>Mingg 4</t>
  </si>
  <si>
    <t>Bulan 1</t>
  </si>
  <si>
    <t>Mingg 5</t>
  </si>
  <si>
    <t>RENCANA KERJA</t>
  </si>
  <si>
    <t>Terbilang :  Satu Milyar Dua Ratus Lima Puluh Juta Rupiah</t>
  </si>
  <si>
    <r>
      <t xml:space="preserve">Pembesian Begel Ø 8-15 dan 4 </t>
    </r>
    <r>
      <rPr>
        <sz val="10.5"/>
        <color indexed="8"/>
        <rFont val="Calibri"/>
        <family val="2"/>
      </rPr>
      <t>Ø</t>
    </r>
    <r>
      <rPr>
        <sz val="10.5"/>
        <color indexed="8"/>
        <rFont val="Times New Roman"/>
        <family val="1"/>
      </rPr>
      <t xml:space="preserve"> 12  ( </t>
    </r>
    <r>
      <rPr>
        <sz val="10.5"/>
        <color indexed="8"/>
        <rFont val="Calibri"/>
        <family val="2"/>
      </rPr>
      <t>&lt; 12 )</t>
    </r>
  </si>
  <si>
    <r>
      <t>Pembesian  (</t>
    </r>
    <r>
      <rPr>
        <sz val="10.5"/>
        <color theme="1"/>
        <rFont val="Calibri"/>
        <family val="2"/>
      </rPr>
      <t>≤</t>
    </r>
    <r>
      <rPr>
        <sz val="10.5"/>
        <color theme="1"/>
        <rFont val="Times New Roman"/>
        <family val="1"/>
      </rPr>
      <t xml:space="preserve"> 12 ) Tulangan 4 Ø 12  dan Begel Ø 8 - 15 </t>
    </r>
  </si>
  <si>
    <t>Galian</t>
  </si>
  <si>
    <t>OJ</t>
  </si>
  <si>
    <t>Urukan pasir uruk</t>
  </si>
  <si>
    <t>Crane truck 3 Ton. Winch 5 Ton *)</t>
  </si>
  <si>
    <t>Jam</t>
  </si>
  <si>
    <t>BETON PRACETAK</t>
  </si>
  <si>
    <t>Batu pecah 5-7 cm (manual)</t>
  </si>
  <si>
    <t>liter</t>
  </si>
  <si>
    <t>2.2.2.2.12. 1 m3 Fondasi Beton Siklop, 60% Beton fc' 15 MPa : 40% Batu Belah untuk Volume sd 200 m3 secara manual</t>
  </si>
  <si>
    <t xml:space="preserve"> Beton Siklop, 60% Beton fc' 15 MPa : 40% Batu Belah </t>
  </si>
  <si>
    <t>Pek Tempelan Batu Hitam</t>
  </si>
  <si>
    <t>Pek. Pengresek</t>
  </si>
  <si>
    <t>Pek. Tiang Piva Galvanis 3"</t>
  </si>
  <si>
    <t>Pek. Tiang Piva Galvanis 2"</t>
  </si>
  <si>
    <t>Pipa Galvanis 3"</t>
  </si>
  <si>
    <t>Perlengkapan</t>
  </si>
  <si>
    <t>Pipa Galvanis 4"</t>
  </si>
  <si>
    <t xml:space="preserve">Pipa GalvanisW Ø 3" </t>
  </si>
  <si>
    <t xml:space="preserve">Pipa Galvanis Ø 4" </t>
  </si>
  <si>
    <t>Pek. Tiang Piva Galvanis 4"</t>
  </si>
  <si>
    <t>Pek. Instalasi Listrik</t>
  </si>
  <si>
    <t>Pas. Lampu</t>
  </si>
  <si>
    <t xml:space="preserve">Pipa GalvanisW Ø 1" </t>
  </si>
  <si>
    <t xml:space="preserve">Pipa Galvanis Ø 3" </t>
  </si>
  <si>
    <t>5.5.4.2. Pemasangan 1 m’ pipa galvanis diameter 2”</t>
  </si>
  <si>
    <t>5.5.4.1. Pemasangan 1 m’ pipa galvanis diameter 1”</t>
  </si>
  <si>
    <t>5.5.4.3. Pemasangan 1 m’ pipa galvanis diameter 3”</t>
  </si>
  <si>
    <t>5.5.4.4. Pemasangan 1 m’ pipa galvanis diameter 4”</t>
  </si>
  <si>
    <t>Pek. Tiang Piva Galvanis 1"</t>
  </si>
  <si>
    <t xml:space="preserve">Pas. Tempat Lampu </t>
  </si>
  <si>
    <t>Pek. Hollo 40x60 Galvanis</t>
  </si>
  <si>
    <t>Hurup</t>
  </si>
  <si>
    <t>Pek. Tulisan</t>
  </si>
  <si>
    <t>8.3.1.4   1 M' Pasangan SBP Tipe U 30/30/120, T= 10(K-350) dengan lantai kerja f'c 10 Mpa</t>
  </si>
  <si>
    <t>8.4.1.5   Pekerjaan 1 unt Tiang Bendera</t>
  </si>
  <si>
    <t>8.4.1.6   Pekerjaan 1 unt Papan Nama Fakultas</t>
  </si>
  <si>
    <t>8.4.1.7   Pekerjaan 1 unt LampuTaman</t>
  </si>
  <si>
    <t>8.3.1.5   1 M' Pasangan SBP + Penutup Tipe U 30/30/120, T= 10(K-350) dengan lantai kerja f'c 10 Mpa</t>
  </si>
  <si>
    <t>Lampu Sorot</t>
  </si>
  <si>
    <t>TAHUN 2025</t>
  </si>
  <si>
    <t>BC - 40.40.120.10 cm  (K-350) ( Gandar 10 ton)</t>
  </si>
  <si>
    <t>U - 30.40.120.5 cm  (K-350) ( Gandar 5 ton)</t>
  </si>
  <si>
    <t>CU - 30.6.60 cm (40)  (K-350) ( Gandar 5 ton)</t>
  </si>
  <si>
    <t>8.3.1.3   1 M' BC - 40.40.120.10 cm  (K-350) ( Gandar 10 ton) dengan lantai kerja f'c 10 Mpa</t>
  </si>
  <si>
    <t>Tutup CU - 30.6.60 cm (40)  (K-350) ( Gandar 5 ton)</t>
  </si>
  <si>
    <t>Kanstin  Ukuran15 x 30 x 50 cm K-300</t>
  </si>
  <si>
    <t>Bh</t>
  </si>
  <si>
    <t xml:space="preserve">8.4.1.8   Pemasangan  1  M'  Kanstin  Ukuran  15x30x50  cm </t>
  </si>
  <si>
    <t xml:space="preserve">Pas.  Lantai keramik platinum  60x60  </t>
  </si>
  <si>
    <t xml:space="preserve">Pas. Plin keramik platinum  10x60 </t>
  </si>
  <si>
    <t>3.11.3.5 Pembuatan dan Pemasangan 1 M¹ Kusen Pintu dan Kusen Jendela Kayu Bingkirai  Ukuran 5 cm x 14 cm</t>
  </si>
  <si>
    <t>3.11.2.3 Pembuatan  1 m2 teakwood rangkap lapis formika, rangka expose kayu kamper</t>
  </si>
  <si>
    <t>Teaxwood 4 mm</t>
  </si>
  <si>
    <t xml:space="preserve">Teak wood </t>
  </si>
  <si>
    <t>PPN   11 %</t>
  </si>
  <si>
    <t>Pek. Beton Kolom 20/20  f'c 15 MPa. Slump (100 ±   25) mm</t>
  </si>
  <si>
    <t>Pek. Beton Ring 15/20   f'c 15 MPa. Slump (100 ±   25) mm (Atas Ring)</t>
  </si>
  <si>
    <t>Pas. Papan Canter  (Lisplank Ukuran (3 x 30) cm. Kayu Kamper)</t>
  </si>
  <si>
    <t>Pemindahan Hidrant</t>
  </si>
  <si>
    <t>Pas. Lampu Sorot</t>
  </si>
  <si>
    <t>8.4.1.9  Pekerjaan 1 unt Lampu Sorot</t>
  </si>
  <si>
    <t>Pek. Terakota (Pakai Analisa Pas. Dinding Keramik 20x20)</t>
  </si>
  <si>
    <r>
      <t>m</t>
    </r>
    <r>
      <rPr>
        <sz val="6"/>
        <rFont val="Arial"/>
        <family val="2"/>
      </rPr>
      <t>3</t>
    </r>
  </si>
  <si>
    <r>
      <t>Tukang B</t>
    </r>
    <r>
      <rPr>
        <b/>
        <sz val="10"/>
        <rFont val="Arial"/>
        <family val="2"/>
      </rPr>
      <t>esi</t>
    </r>
  </si>
  <si>
    <r>
      <t xml:space="preserve">Lantai kerja </t>
    </r>
    <r>
      <rPr>
        <i/>
        <sz val="11"/>
        <rFont val="Arial"/>
        <family val="2"/>
      </rPr>
      <t xml:space="preserve">f'c </t>
    </r>
    <r>
      <rPr>
        <sz val="11"/>
        <rFont val="Arial"/>
        <family val="2"/>
      </rPr>
      <t>10 MPa</t>
    </r>
  </si>
  <si>
    <t>III</t>
  </si>
  <si>
    <t>VI</t>
  </si>
  <si>
    <t>VII</t>
  </si>
  <si>
    <t xml:space="preserve">PEKERJAAN LANTAI I </t>
  </si>
  <si>
    <t>PEKERJAAN LANTAI II</t>
  </si>
  <si>
    <t>ITEM PEKERJAAN</t>
  </si>
  <si>
    <t>JUMLAH (Rp)</t>
  </si>
  <si>
    <t>1 Set</t>
  </si>
  <si>
    <t>pasang</t>
  </si>
  <si>
    <t>Personil K3 Konstruksi</t>
  </si>
  <si>
    <t>buah</t>
  </si>
  <si>
    <t xml:space="preserve">Pembuatan Dokumen Rencanaan Keselamatan Konstruksi </t>
  </si>
  <si>
    <t>PENANGKAL PETIR</t>
  </si>
  <si>
    <t>Terbilang :</t>
  </si>
  <si>
    <t>Satu Milyar Dua Ratus empat puluh delapan juta empat ratus empat puluh ribu lima ratus delapan puluh dua rupiah</t>
  </si>
  <si>
    <t>JIMBARAN, 13 AGUSTUS 2025</t>
  </si>
  <si>
    <t>HARGA PERKIRAAN SENDIRI (HPS)</t>
  </si>
  <si>
    <t>PERBAIKAN ATAP GEDUNG FH BUKIT JIMBARAN</t>
  </si>
  <si>
    <t>Batu Candi</t>
  </si>
  <si>
    <t>Gergaji Besi (Baja Keras)</t>
  </si>
  <si>
    <t>`</t>
  </si>
  <si>
    <t xml:space="preserve">Pembesian  (≤ 12 ) Tulangan 4 Ø 12  dan Begel Ø 8 - 15 </t>
  </si>
  <si>
    <t>a. Pembuatan Prosdur dan Intruksi Kerja</t>
  </si>
  <si>
    <t>a. Topi Pelindung (Safety Helmet)</t>
  </si>
  <si>
    <t>b. Pelindung Mata (Goggles Specktacles)</t>
  </si>
  <si>
    <t>c. Pelindung Pernapasan dan Mulut (Masker)</t>
  </si>
  <si>
    <t>d. Sarung Tangan (Safety Cloves)</t>
  </si>
  <si>
    <t xml:space="preserve">e. Sepatu Keselamatan (Safety Shoes) </t>
  </si>
  <si>
    <t xml:space="preserve">f. Rompi Keselamatan (Safety Vest) </t>
  </si>
  <si>
    <t>a. Asuransi JKK</t>
  </si>
  <si>
    <t>a. PetugasK3 Konstruksi</t>
  </si>
  <si>
    <t>HARGA SATUAN</t>
  </si>
  <si>
    <t>JML HARGA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</si>
</sst>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5" formatCode="&quot;Rp&quot;#,##0_);\(&quot;Rp&quot;#,##0\)"/>
    <numFmt numFmtId="42" formatCode="_(&quot;Rp&quot;* #,##0_);_(&quot;Rp&quot;* \(#,##0\);_(&quot;Rp&quot;* &quot;-&quot;_);_(@_)"/>
    <numFmt numFmtId="41" formatCode="_(* #,##0_);_(* \(#,##0\);_(* &quot;-&quot;_);_(@_)"/>
    <numFmt numFmtId="44" formatCode="_(&quot;Rp&quot;* #,##0.00_);_(&quot;Rp&quot;* \(#,##0.00\);_(&quot;Rp&quot;* &quot;-&quot;??_);_(@_)"/>
    <numFmt numFmtId="43" formatCode="_(* #,##0.00_);_(* \(#,##0.00\);_(* &quot;-&quot;??_);_(@_)"/>
    <numFmt numFmtId="164" formatCode="&quot;Rp&quot;#,##0;\-&quot;Rp&quot;#,##0"/>
    <numFmt numFmtId="165" formatCode="_-&quot;Rp&quot;* #,##0_-;\-&quot;Rp&quot;* #,##0_-;_-&quot;Rp&quot;* &quot;-&quot;_-;_-@_-"/>
    <numFmt numFmtId="166" formatCode="_-* #,##0_-;\-* #,##0_-;_-* &quot;-&quot;_-;_-@_-"/>
    <numFmt numFmtId="167" formatCode="_-&quot;Rp&quot;* #,##0.00_-;\-&quot;Rp&quot;* #,##0.00_-;_-&quot;Rp&quot;* &quot;-&quot;??_-;_-@_-"/>
    <numFmt numFmtId="168" formatCode="_-* #,##0.00_-;\-* #,##0.00_-;_-* &quot;-&quot;??_-;_-@_-"/>
    <numFmt numFmtId="169" formatCode="&quot;$&quot;#,##0_);[Red]\(&quot;$&quot;#,##0\)"/>
    <numFmt numFmtId="170" formatCode="&quot;$&quot;#,##0.00_);[Red]\(&quot;$&quot;#,##0.00\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(* #,##0.0000_);_(* \(#,##0.0000\);_(* &quot;-&quot;??_);_(@_)"/>
    <numFmt numFmtId="174" formatCode="_(* #,##0.00_);_(* \(#,##0.00\);_(* &quot;-&quot;_);_(@_)"/>
    <numFmt numFmtId="175" formatCode="_-* #,##0.00\ _F_B_-;\-* #,##0.00\ _F_B_-;_-* &quot;-&quot;??\ _F_B_-;_-@_-"/>
    <numFmt numFmtId="176" formatCode="_(* #,##0.0_);_(* \(#,##0.0\);_(* &quot;-&quot;??_);_(@_)"/>
    <numFmt numFmtId="177" formatCode="\\#,##0.00;[Red]&quot;\\\\\\-&quot;#,##0.00"/>
    <numFmt numFmtId="178" formatCode="\\#,##0;[Red]&quot;\\-&quot;#,##0"/>
    <numFmt numFmtId="179" formatCode="_ * #,##0.00_ ;_ * \-#,##0.00_ ;_ * &quot;-&quot;??_ ;_ @_ "/>
    <numFmt numFmtId="180" formatCode="_ * #,##0_ ;_ * \-#,##0_ ;_ * &quot;-&quot;_ ;_ @_ "/>
    <numFmt numFmtId="181" formatCode="_-* #,##0_-;\-* #,##0_-;_-* \-_-;_-@_-"/>
    <numFmt numFmtId="182" formatCode="&quot;\&quot;#,##0.00;[Red]&quot;\&quot;\-#,##0.00"/>
    <numFmt numFmtId="183" formatCode="&quot;\&quot;\ #,##0;&quot;\&quot;\ \-#,##0"/>
    <numFmt numFmtId="184" formatCode="&quot;\&quot;#,##0;[Red]&quot;\&quot;\-#,##0"/>
    <numFmt numFmtId="185" formatCode="#,##0_ ;[Red]\-#,##0\ "/>
    <numFmt numFmtId="186" formatCode="#."/>
    <numFmt numFmtId="187" formatCode="#,##0.0_);\(#,##0.00\)"/>
    <numFmt numFmtId="188" formatCode="&quot;£&quot;#,##0;\-&quot;£&quot;#,##0"/>
    <numFmt numFmtId="189" formatCode="General_)"/>
    <numFmt numFmtId="190" formatCode="_-&quot;Rp.&quot;* #,##0_-;\-&quot;Rp.&quot;* #,##0_-;_-&quot;Rp.&quot;* &quot;-&quot;_-;_-@_-"/>
    <numFmt numFmtId="191" formatCode=";;;"/>
    <numFmt numFmtId="192" formatCode="#,##0.00\ _$;\-#,##0.00\ _$"/>
    <numFmt numFmtId="193" formatCode="#,##0.00\ &quot;Pts&quot;;[Red]\-#,##0.00\ &quot;Pts&quot;"/>
    <numFmt numFmtId="194" formatCode="_-* #,##0\ _P_t_s_-;\-* #,##0\ _P_t_s_-;_-* &quot;-&quot;\ _P_t_s_-;_-@_-"/>
    <numFmt numFmtId="195" formatCode="_-* #,##0\ &quot;Pts&quot;_-;\-* #,##0\ &quot;Pts&quot;_-;_-* &quot;-&quot;\ &quot;Pts&quot;_-;_-@_-"/>
    <numFmt numFmtId="196" formatCode="_-* #,##0.00\ &quot;Pts&quot;_-;\-* #,##0.00\ &quot;Pts&quot;_-;_-* &quot;-&quot;??\ &quot;Pts&quot;_-;_-@_-"/>
    <numFmt numFmtId="197" formatCode="_(* #,##0.00000_);_(* \(#,##0.00000\);_(* &quot;-&quot;??_);_(@_)"/>
    <numFmt numFmtId="198" formatCode="mmmm/dd/yyyy\ h:mm"/>
    <numFmt numFmtId="199" formatCode="mm/dd/yy\ h:mm"/>
    <numFmt numFmtId="200" formatCode="_(* #,##0.00_);_(* \(#,##0.00\);_(* \-_);_(@_)"/>
    <numFmt numFmtId="201" formatCode="&quot;Rp.&quot;#,##0.00_);\(&quot;Rp.&quot;#,##0.00\)"/>
    <numFmt numFmtId="202" formatCode="0###0"/>
    <numFmt numFmtId="203" formatCode="\$#,##0\ ;\(\$#,##0\)"/>
    <numFmt numFmtId="204" formatCode="#,##0.000000000_ ;[Red]\-#,##0.000000000\ "/>
    <numFmt numFmtId="205" formatCode="m\o\n\th\ d\,\ yyyy"/>
    <numFmt numFmtId="206" formatCode="#,##0_);[Red]\(#,##0\);;@"/>
    <numFmt numFmtId="207" formatCode="_(* #,##0_);_(* &quot;\&quot;&quot;\&quot;&quot;\&quot;\(#,##0&quot;\&quot;&quot;\&quot;&quot;\&quot;\);_(* &quot;-&quot;_);_(@_)"/>
    <numFmt numFmtId="208" formatCode="_(* #,##0.00_);_(* &quot;\&quot;&quot;\&quot;&quot;\&quot;\(#,##0.00&quot;\&quot;&quot;\&quot;&quot;\&quot;\);_(* &quot;-&quot;??_);_(@_)"/>
    <numFmt numFmtId="209" formatCode="_([$€-2]* #,##0.00_);_([$€-2]* \(#,##0.00\);_([$€-2]* &quot;-&quot;??_)"/>
    <numFmt numFmtId="210" formatCode="#,##0.0"/>
    <numFmt numFmtId="211" formatCode="#.00"/>
    <numFmt numFmtId="212" formatCode="&quot;Rp.&quot;#,##0_);[Red]\(&quot;Rp.&quot;#,##0\)"/>
    <numFmt numFmtId="213" formatCode="General\ ;[Red]\(General\)"/>
    <numFmt numFmtId="214" formatCode="0.000%"/>
    <numFmt numFmtId="215" formatCode="0.00_)"/>
    <numFmt numFmtId="216" formatCode="_-* #,##0.0_-;\-* #,##0.0_-;_-* &quot;-&quot;??_-;_-@_-"/>
    <numFmt numFmtId="217" formatCode="0.0%"/>
    <numFmt numFmtId="218" formatCode="#,##0.00&quot;  &quot;"/>
    <numFmt numFmtId="219" formatCode="_ * #,##0_ ;_ * \-#,##0_ ;_ * \-??_ ;_ @_ "/>
    <numFmt numFmtId="220" formatCode="_ * #,##0_ ;_ * \-#,##0_ ;_ * &quot;-&quot;??_ ;_ @_ "/>
    <numFmt numFmtId="221" formatCode="#,##0.00\ "/>
    <numFmt numFmtId="222" formatCode="0##0"/>
    <numFmt numFmtId="223" formatCode="_-&quot;$&quot;* #,##0_-;\-&quot;$&quot;* #,##0_-;_-&quot;$&quot;* &quot;-&quot;_-;_-@_-"/>
    <numFmt numFmtId="224" formatCode="0&quot;    &quot;"/>
    <numFmt numFmtId="225" formatCode="#,##0.00&quot;   &quot;"/>
    <numFmt numFmtId="226" formatCode="_(&quot;$&quot;* #,##0_);_(&quot;$&quot;* &quot;\&quot;&quot;\&quot;&quot;\&quot;\(#,##0&quot;\&quot;&quot;\&quot;&quot;\&quot;\);_(&quot;$&quot;* &quot;-&quot;_);_(@_)"/>
    <numFmt numFmtId="227" formatCode="_(&quot;$&quot;* #,##0.00_);_(&quot;$&quot;* &quot;\&quot;&quot;\&quot;&quot;\&quot;\(#,##0.00&quot;\&quot;&quot;\&quot;&quot;\&quot;\);_(&quot;$&quot;* &quot;-&quot;??_);_(@_)"/>
    <numFmt numFmtId="228" formatCode="_-&quot;$&quot;* #,##0.00_-;\-&quot;$&quot;* #,##0.00_-;_-&quot;$&quot;* &quot;-&quot;??_-;_-@_-"/>
    <numFmt numFmtId="229" formatCode="&quot;\&quot;#,##0;[Red]&quot;\&quot;&quot;\&quot;\-#,##0"/>
    <numFmt numFmtId="230" formatCode="&quot;\&quot;#,##0.00;[Red]&quot;\&quot;&quot;\&quot;&quot;\&quot;&quot;\&quot;&quot;\&quot;&quot;\&quot;\-#,##0.00"/>
    <numFmt numFmtId="231" formatCode="_-[$Rp-421]* #,##0.00_-;\-[$Rp-421]* #,##0.00_-;_-[$Rp-421]* &quot;-&quot;??_-;_-@_-"/>
    <numFmt numFmtId="232" formatCode="_(&quot;Rp&quot;* #,##0.00_);_(&quot;Rp&quot;* \(#,##0.00\);_(&quot;Rp&quot;* &quot;-&quot;_);_(@_)"/>
    <numFmt numFmtId="233" formatCode="_(* #,##0.000_);_(* \(#,##0.000\);_(* &quot;-&quot;??_);_(@_)"/>
    <numFmt numFmtId="234" formatCode="_([$Rp-421]* #,##0.00_);_([$Rp-421]* \(#,##0.00\);_([$Rp-421]* &quot;-&quot;??_);_(@_)"/>
    <numFmt numFmtId="239" formatCode="0.0"/>
  </numFmts>
  <fonts count="234">
    <font>
      <sz val="11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Times New Roman"/>
      <family val="1"/>
    </font>
    <font>
      <sz val="10"/>
      <name val="Tahoma"/>
      <family val="2"/>
    </font>
    <font>
      <b/>
      <i/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9"/>
      <name val="ÀÞ¯Á"/>
      <family val="3"/>
      <charset val="128"/>
    </font>
    <font>
      <sz val="10"/>
      <name val="Helv"/>
      <family val="2"/>
    </font>
    <font>
      <sz val="11"/>
      <name val="ＭＳ Ｐゴシック"/>
      <charset val="128"/>
    </font>
    <font>
      <sz val="10"/>
      <name val="???"/>
      <family val="3"/>
      <charset val="129"/>
    </font>
    <font>
      <sz val="11"/>
      <name val="?l?r ?o?S?V?b?N"/>
      <family val="1"/>
    </font>
    <font>
      <sz val="11"/>
      <color indexed="8"/>
      <name val="Calibri"/>
      <family val="2"/>
    </font>
    <font>
      <sz val="11"/>
      <name val="‚l‚r ‚oƒSƒVƒbƒN"/>
      <family val="1"/>
    </font>
    <font>
      <sz val="11"/>
      <name val="‚l‚r ‚oƒSƒVƒbƒN"/>
      <family val="3"/>
      <charset val="128"/>
    </font>
    <font>
      <sz val="10"/>
      <name val="?l?r ??’c"/>
      <family val="3"/>
      <charset val="128"/>
    </font>
    <font>
      <sz val="10"/>
      <name val="‚l‚r –¾’©"/>
      <family val="3"/>
      <charset val="128"/>
    </font>
    <font>
      <sz val="10"/>
      <name val="MS Sans Serif"/>
      <family val="2"/>
    </font>
    <font>
      <sz val="1"/>
      <color indexed="8"/>
      <name val="Courier"/>
      <family val="3"/>
    </font>
    <font>
      <sz val="10"/>
      <name val="??’c"/>
      <family val="3"/>
      <charset val="128"/>
    </font>
    <font>
      <sz val="10"/>
      <name val="–¾’©"/>
      <family val="1"/>
      <charset val="128"/>
    </font>
    <font>
      <sz val="14"/>
      <name val="‚l‚r –¾’©"/>
      <family val="1"/>
      <charset val="128"/>
    </font>
    <font>
      <sz val="1"/>
      <color indexed="8"/>
      <name val="Courier New"/>
      <family val="3"/>
    </font>
    <font>
      <sz val="12"/>
      <name val="Courier"/>
      <family val="3"/>
    </font>
    <font>
      <sz val="1"/>
      <color indexed="16"/>
      <name val="Courier New"/>
      <family val="3"/>
    </font>
    <font>
      <sz val="1"/>
      <color indexed="16"/>
      <name val="Courier"/>
      <family val="3"/>
    </font>
    <font>
      <u/>
      <sz val="9"/>
      <color indexed="36"/>
      <name val="‚l‚r ƒSƒVƒbƒN"/>
      <family val="3"/>
      <charset val="128"/>
    </font>
    <font>
      <sz val="10"/>
      <name val="‚l‚r –¾’©"/>
      <family val="1"/>
      <charset val="128"/>
    </font>
    <font>
      <sz val="11"/>
      <name val="–¾’©"/>
      <family val="1"/>
      <charset val="128"/>
    </font>
    <font>
      <sz val="11"/>
      <name val="lr oSVbN"/>
      <family val="3"/>
      <charset val="128"/>
    </font>
    <font>
      <sz val="10"/>
      <name val="¾©"/>
      <family val="3"/>
      <charset val="128"/>
    </font>
    <font>
      <sz val="10"/>
      <name val="lr ¾©"/>
      <family val="3"/>
      <charset val="128"/>
    </font>
    <font>
      <sz val="12"/>
      <name val="¹ÙÅÁÃ¼"/>
      <charset val="129"/>
    </font>
    <font>
      <sz val="11"/>
      <color indexed="9"/>
      <name val="Calibri"/>
      <family val="2"/>
    </font>
    <font>
      <b/>
      <u/>
      <sz val="18"/>
      <color indexed="9"/>
      <name val="Tahoma"/>
      <family val="2"/>
    </font>
    <font>
      <sz val="11"/>
      <color indexed="9"/>
      <name val="Calibri"/>
      <family val="2"/>
      <charset val="1"/>
    </font>
    <font>
      <sz val="12"/>
      <name val="¹UAAA¼"/>
      <family val="3"/>
    </font>
    <font>
      <b/>
      <sz val="16"/>
      <color indexed="8"/>
      <name val="Times New Roman"/>
      <family val="1"/>
    </font>
    <font>
      <sz val="9"/>
      <name val="‚l‚r ƒSƒVƒbƒN"/>
      <family val="3"/>
      <charset val="128"/>
    </font>
    <font>
      <sz val="8"/>
      <name val="Times New Roman"/>
      <family val="1"/>
    </font>
    <font>
      <sz val="9"/>
      <name val="¹ÙÅÁÃ¼"/>
      <family val="1"/>
      <charset val="129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ms Rmn"/>
    </font>
    <font>
      <sz val="12"/>
      <name val="Times"/>
      <family val="1"/>
    </font>
    <font>
      <sz val="8"/>
      <color indexed="8"/>
      <name val="Arial"/>
      <family val="2"/>
    </font>
    <font>
      <sz val="10"/>
      <name val="Geneva"/>
    </font>
    <font>
      <sz val="9"/>
      <color indexed="10"/>
      <name val="Times New Roman"/>
      <family val="1"/>
    </font>
    <font>
      <sz val="10"/>
      <name val="MS Serif"/>
      <family val="1"/>
    </font>
    <font>
      <b/>
      <u/>
      <sz val="11"/>
      <name val="Times New Roman"/>
      <family val="1"/>
    </font>
    <font>
      <sz val="12"/>
      <name val="Helv"/>
    </font>
    <font>
      <sz val="10"/>
      <color indexed="8"/>
      <name val="Arial"/>
      <family val="2"/>
    </font>
    <font>
      <sz val="10"/>
      <name val="Century Gothic"/>
      <family val="2"/>
    </font>
    <font>
      <b/>
      <sz val="10"/>
      <color indexed="8"/>
      <name val="Arial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u/>
      <sz val="9"/>
      <color indexed="12"/>
      <name val="‚l‚r ƒSƒVƒbƒN"/>
      <family val="3"/>
      <charset val="128"/>
    </font>
    <font>
      <sz val="11"/>
      <color indexed="17"/>
      <name val="Calibri"/>
      <family val="2"/>
    </font>
    <font>
      <b/>
      <sz val="10"/>
      <name val="Century Gothic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"/>
      <color indexed="8"/>
      <name val="Courier"/>
      <family val="3"/>
    </font>
    <font>
      <b/>
      <sz val="13"/>
      <color indexed="56"/>
      <name val="Calibri"/>
      <family val="2"/>
    </font>
    <font>
      <b/>
      <u/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"/>
      <color indexed="8"/>
      <name val="Courier New"/>
      <family val="3"/>
    </font>
    <font>
      <b/>
      <sz val="8"/>
      <name val="MS Sans Serif"/>
      <family val="2"/>
    </font>
    <font>
      <u/>
      <sz val="7.5"/>
      <color indexed="12"/>
      <name val="Times New Roman"/>
      <family val="1"/>
    </font>
    <font>
      <sz val="11"/>
      <color indexed="62"/>
      <name val="Calibri"/>
      <family val="2"/>
    </font>
    <font>
      <sz val="12"/>
      <name val="Book Antiqua"/>
      <family val="1"/>
    </font>
    <font>
      <b/>
      <sz val="14"/>
      <name val="Helv"/>
    </font>
    <font>
      <sz val="11"/>
      <color indexed="52"/>
      <name val="Calibri"/>
      <family val="2"/>
    </font>
    <font>
      <b/>
      <sz val="12"/>
      <name val="SWISS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etica"/>
      <family val="2"/>
    </font>
    <font>
      <sz val="8"/>
      <name val="Helv"/>
    </font>
    <font>
      <sz val="10"/>
      <name val="Courier"/>
      <family val="3"/>
    </font>
    <font>
      <sz val="12"/>
      <color indexed="8"/>
      <name val="Bookman Old Style"/>
      <family val="1"/>
    </font>
    <font>
      <b/>
      <sz val="14"/>
      <color indexed="8"/>
      <name val="Times New Roman"/>
      <family val="1"/>
    </font>
    <font>
      <sz val="10"/>
      <name val="SWISS"/>
    </font>
    <font>
      <i/>
      <sz val="10"/>
      <color indexed="18"/>
      <name val="Century Gothic"/>
      <family val="2"/>
    </font>
    <font>
      <b/>
      <sz val="11"/>
      <color indexed="63"/>
      <name val="Calibri"/>
      <family val="2"/>
    </font>
    <font>
      <b/>
      <sz val="10"/>
      <color indexed="8"/>
      <name val="Univers"/>
      <family val="2"/>
    </font>
    <font>
      <sz val="8"/>
      <name val="Wingdings"/>
      <charset val="2"/>
    </font>
    <font>
      <u/>
      <sz val="10"/>
      <name val="Arial"/>
      <family val="2"/>
    </font>
    <font>
      <b/>
      <u/>
      <sz val="10"/>
      <color indexed="18"/>
      <name val="Century Gothic"/>
      <family val="2"/>
    </font>
    <font>
      <b/>
      <sz val="18"/>
      <color indexed="8"/>
      <name val="Cambria"/>
      <family val="1"/>
    </font>
    <font>
      <sz val="8"/>
      <name val="MS Sans Serif"/>
      <family val="2"/>
    </font>
    <font>
      <sz val="12"/>
      <name val="SWISS"/>
    </font>
    <font>
      <b/>
      <sz val="12"/>
      <name val="MS Sans Serif"/>
      <family val="2"/>
    </font>
    <font>
      <sz val="12"/>
      <name val="MS Sans Serif"/>
      <family val="2"/>
    </font>
    <font>
      <b/>
      <sz val="12"/>
      <color indexed="18"/>
      <name val="Times New Roman"/>
      <family val="1"/>
    </font>
    <font>
      <b/>
      <sz val="8"/>
      <color indexed="8"/>
      <name val="Helv"/>
    </font>
    <font>
      <sz val="10"/>
      <name val="VNI-Times"/>
    </font>
    <font>
      <b/>
      <sz val="10"/>
      <name val="Arial Narrow"/>
      <family val="2"/>
    </font>
    <font>
      <sz val="10"/>
      <name val="VNI-Univer"/>
    </font>
    <font>
      <sz val="20"/>
      <color indexed="13"/>
      <name val="Helv"/>
    </font>
    <font>
      <b/>
      <sz val="18"/>
      <color indexed="56"/>
      <name val="Cambria"/>
      <family val="2"/>
    </font>
    <font>
      <b/>
      <i/>
      <sz val="12"/>
      <name val="Times New Roman"/>
      <family val="1"/>
    </font>
    <font>
      <b/>
      <sz val="11"/>
      <color indexed="8"/>
      <name val="Calibri"/>
      <family val="2"/>
    </font>
    <font>
      <sz val="10"/>
      <name val="Helv"/>
    </font>
    <font>
      <sz val="12"/>
      <color indexed="10"/>
      <name val="Arial Narrow"/>
      <family val="2"/>
    </font>
    <font>
      <u/>
      <sz val="10"/>
      <color indexed="14"/>
      <name val="COUR"/>
      <family val="3"/>
    </font>
    <font>
      <sz val="10"/>
      <name val="VNI-Helve-Condense"/>
    </font>
    <font>
      <sz val="11"/>
      <color indexed="10"/>
      <name val="Calibri"/>
      <family val="2"/>
    </font>
    <font>
      <u/>
      <sz val="12"/>
      <color indexed="12"/>
      <name val="ＭＳ Ｐゴシック"/>
      <family val="3"/>
      <charset val="128"/>
    </font>
    <font>
      <sz val="11"/>
      <name val="｢ﾛ｢・｢ﾞ????"/>
      <family val="3"/>
      <charset val="128"/>
    </font>
    <font>
      <sz val="12"/>
      <name val="新細明體"/>
      <family val="1"/>
      <charset val="136"/>
    </font>
    <font>
      <sz val="14"/>
      <name val="뼻뮝"/>
      <family val="3"/>
    </font>
    <font>
      <sz val="12"/>
      <name val="뼻뮝"/>
      <family val="3"/>
    </font>
    <font>
      <sz val="12"/>
      <name val="바탕체"/>
      <family val="3"/>
    </font>
    <font>
      <sz val="10"/>
      <name val="굴림체"/>
      <family val="3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標準ゴシック"/>
      <family val="3"/>
      <charset val="128"/>
    </font>
    <font>
      <u/>
      <sz val="12"/>
      <color indexed="3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明朝"/>
      <family val="1"/>
      <charset val="128"/>
    </font>
    <font>
      <sz val="10"/>
      <name val="・団"/>
      <family val="1"/>
      <charset val="12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b/>
      <sz val="10"/>
      <color indexed="10"/>
      <name val="Arial Narrow"/>
      <family val="2"/>
    </font>
    <font>
      <b/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i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1"/>
      <color rgb="FFFF0000"/>
      <name val="Arial Narrow"/>
      <family val="2"/>
    </font>
    <font>
      <b/>
      <sz val="11"/>
      <name val="Swis721 LtCn BT"/>
      <family val="2"/>
    </font>
    <font>
      <sz val="11"/>
      <name val="Swis721 LtCn BT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Swis721 LtCn BT"/>
      <family val="2"/>
    </font>
    <font>
      <sz val="11"/>
      <color rgb="FFC00000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</font>
    <font>
      <sz val="10.5"/>
      <color indexed="8"/>
      <name val="Times New Roman"/>
      <family val="1"/>
    </font>
    <font>
      <b/>
      <u/>
      <sz val="10.5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Arial Narrow"/>
      <family val="2"/>
    </font>
    <font>
      <sz val="10.5"/>
      <color indexed="8"/>
      <name val="Calibri"/>
      <family val="2"/>
    </font>
    <font>
      <b/>
      <sz val="11"/>
      <color theme="1"/>
      <name val="Swis721 LtCn BT"/>
      <family val="2"/>
    </font>
    <font>
      <sz val="10"/>
      <color theme="1"/>
      <name val="Arial Narrow"/>
      <family val="2"/>
    </font>
    <font>
      <b/>
      <u/>
      <sz val="10"/>
      <color theme="1"/>
      <name val="Arial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0.5"/>
      <color theme="1"/>
      <name val="Times New Roman"/>
      <family val="1"/>
    </font>
    <font>
      <sz val="10.5"/>
      <color theme="1"/>
      <name val="Arial"/>
      <family val="2"/>
    </font>
    <font>
      <b/>
      <u/>
      <sz val="10.5"/>
      <color theme="1"/>
      <name val="Times New Roman"/>
      <family val="1"/>
    </font>
    <font>
      <b/>
      <u/>
      <sz val="12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8"/>
      <color theme="1"/>
      <name val="Arial Narrow"/>
      <family val="2"/>
    </font>
    <font>
      <i/>
      <sz val="8"/>
      <color theme="1"/>
      <name val="Arial Narrow"/>
      <family val="2"/>
    </font>
    <font>
      <sz val="11"/>
      <color rgb="FFFF0000"/>
      <name val="Arial"/>
      <family val="2"/>
    </font>
    <font>
      <sz val="14"/>
      <color rgb="FFFF0000"/>
      <name val="Arial Narrow"/>
      <family val="2"/>
    </font>
    <font>
      <sz val="12"/>
      <color rgb="FFFF0000"/>
      <name val="Arial Narrow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Calibri"/>
      <family val="2"/>
    </font>
    <font>
      <b/>
      <sz val="10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Arial"/>
      <family val="2"/>
    </font>
    <font>
      <sz val="10"/>
      <color rgb="FF002060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.5"/>
      <color theme="1"/>
      <name val="Calibri"/>
      <family val="2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Swis721 LtCn BT"/>
      <family val="2"/>
    </font>
    <font>
      <i/>
      <sz val="11"/>
      <color theme="1"/>
      <name val="Swis721 LtCn BT"/>
      <family val="2"/>
    </font>
    <font>
      <b/>
      <sz val="12"/>
      <color theme="1"/>
      <name val="Times New Roman"/>
      <family val="1"/>
    </font>
    <font>
      <b/>
      <sz val="16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u/>
      <sz val="10.5"/>
      <name val="Arial"/>
      <family val="2"/>
    </font>
    <font>
      <b/>
      <sz val="12"/>
      <name val="Arial Narrow"/>
      <family val="2"/>
    </font>
    <font>
      <b/>
      <sz val="11.5"/>
      <name val="Bookman Old Style"/>
      <family val="1"/>
    </font>
    <font>
      <sz val="11"/>
      <color rgb="FF181C32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21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lightGray">
        <fgColor indexed="13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  <bgColor indexed="26"/>
      </patternFill>
    </fill>
    <fill>
      <patternFill patternType="darkHorizontal">
        <fgColor indexed="2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solid">
        <f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double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/>
      <right/>
      <top/>
      <bottom style="thin">
        <color rgb="FF000000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/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thin">
        <color indexed="63"/>
      </top>
      <bottom style="double">
        <color indexed="63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auto="1"/>
      </bottom>
      <diagonal/>
    </border>
    <border>
      <left/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/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854">
    <xf numFmtId="0" fontId="0" fillId="0" borderId="0"/>
    <xf numFmtId="0" fontId="5" fillId="0" borderId="0"/>
    <xf numFmtId="38" fontId="31" fillId="0" borderId="0" applyFont="0" applyFill="0" applyBorder="0" applyAlignment="0" applyProtection="0"/>
    <xf numFmtId="0" fontId="32" fillId="0" borderId="0"/>
    <xf numFmtId="0" fontId="5" fillId="0" borderId="0"/>
    <xf numFmtId="0" fontId="5" fillId="0" borderId="0"/>
    <xf numFmtId="0" fontId="5" fillId="0" borderId="0"/>
    <xf numFmtId="4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68" fontId="5" fillId="0" borderId="0" applyFont="0" applyFill="0" applyBorder="0" applyAlignment="0" applyProtection="0"/>
    <xf numFmtId="177" fontId="5" fillId="0" borderId="0" applyFill="0" applyBorder="0" applyAlignment="0" applyProtection="0"/>
    <xf numFmtId="172" fontId="5" fillId="0" borderId="0" applyFont="0" applyFill="0" applyBorder="0" applyAlignment="0" applyProtection="0"/>
    <xf numFmtId="178" fontId="5" fillId="0" borderId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ill="0" applyBorder="0" applyAlignment="0" applyProtection="0"/>
    <xf numFmtId="9" fontId="5" fillId="0" borderId="0" applyFill="0" applyBorder="0" applyAlignment="0" applyProtection="0"/>
    <xf numFmtId="0" fontId="34" fillId="0" borderId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/>
    <xf numFmtId="0" fontId="36" fillId="2" borderId="0" applyNumberFormat="0" applyBorder="0" applyAlignment="0" applyProtection="0"/>
    <xf numFmtId="182" fontId="35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2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39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39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3" fillId="0" borderId="1">
      <alignment horizontal="center"/>
    </xf>
    <xf numFmtId="0" fontId="44" fillId="0" borderId="1">
      <alignment horizontal="center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5" fillId="0" borderId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186" fontId="46" fillId="0" borderId="0">
      <protection locked="0"/>
    </xf>
    <xf numFmtId="39" fontId="47" fillId="0" borderId="0"/>
    <xf numFmtId="186" fontId="42" fillId="0" borderId="0">
      <protection locked="0"/>
    </xf>
    <xf numFmtId="186" fontId="42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7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6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6" fontId="42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8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88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2" fillId="0" borderId="0">
      <protection locked="0"/>
    </xf>
    <xf numFmtId="186" fontId="48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6" fontId="49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87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176" fontId="5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/>
    <xf numFmtId="190" fontId="5" fillId="0" borderId="0" applyBorder="0"/>
    <xf numFmtId="0" fontId="52" fillId="0" borderId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5" fillId="0" borderId="0"/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91" fontId="54" fillId="0" borderId="1">
      <alignment horizontal="center"/>
    </xf>
    <xf numFmtId="0" fontId="55" fillId="0" borderId="0"/>
    <xf numFmtId="0" fontId="5" fillId="0" borderId="0"/>
    <xf numFmtId="9" fontId="56" fillId="0" borderId="0" applyFont="0" applyFill="0" applyBorder="0" applyAlignment="0" applyProtection="0"/>
    <xf numFmtId="37" fontId="36" fillId="3" borderId="0" applyBorder="0" applyAlignment="0" applyProtection="0"/>
    <xf numFmtId="37" fontId="36" fillId="3" borderId="0" applyBorder="0" applyAlignment="0" applyProtection="0"/>
    <xf numFmtId="37" fontId="36" fillId="4" borderId="0" applyBorder="0" applyAlignment="0" applyProtection="0"/>
    <xf numFmtId="37" fontId="36" fillId="4" borderId="0" applyBorder="0" applyAlignment="0" applyProtection="0"/>
    <xf numFmtId="37" fontId="36" fillId="5" borderId="0" applyBorder="0" applyAlignment="0" applyProtection="0"/>
    <xf numFmtId="37" fontId="36" fillId="5" borderId="0" applyBorder="0" applyAlignment="0" applyProtection="0"/>
    <xf numFmtId="37" fontId="36" fillId="6" borderId="0" applyBorder="0" applyAlignment="0" applyProtection="0"/>
    <xf numFmtId="37" fontId="36" fillId="6" borderId="0" applyBorder="0" applyAlignment="0" applyProtection="0"/>
    <xf numFmtId="37" fontId="36" fillId="7" borderId="0" applyBorder="0" applyAlignment="0" applyProtection="0"/>
    <xf numFmtId="37" fontId="36" fillId="7" borderId="0" applyBorder="0" applyAlignment="0" applyProtection="0"/>
    <xf numFmtId="37" fontId="36" fillId="8" borderId="0" applyBorder="0" applyAlignment="0" applyProtection="0"/>
    <xf numFmtId="37" fontId="36" fillId="8" borderId="0" applyBorder="0" applyAlignment="0" applyProtection="0"/>
    <xf numFmtId="0" fontId="5" fillId="0" borderId="2" applyNumberFormat="0" applyAlignment="0"/>
    <xf numFmtId="37" fontId="36" fillId="9" borderId="0" applyBorder="0" applyAlignment="0" applyProtection="0"/>
    <xf numFmtId="37" fontId="36" fillId="9" borderId="0" applyBorder="0" applyAlignment="0" applyProtection="0"/>
    <xf numFmtId="37" fontId="36" fillId="10" borderId="0" applyBorder="0" applyAlignment="0" applyProtection="0"/>
    <xf numFmtId="37" fontId="36" fillId="10" borderId="0" applyBorder="0" applyAlignment="0" applyProtection="0"/>
    <xf numFmtId="37" fontId="36" fillId="11" borderId="0" applyBorder="0" applyAlignment="0" applyProtection="0"/>
    <xf numFmtId="37" fontId="36" fillId="11" borderId="0" applyBorder="0" applyAlignment="0" applyProtection="0"/>
    <xf numFmtId="37" fontId="36" fillId="6" borderId="0" applyBorder="0" applyAlignment="0" applyProtection="0"/>
    <xf numFmtId="37" fontId="36" fillId="6" borderId="0" applyBorder="0" applyAlignment="0" applyProtection="0"/>
    <xf numFmtId="37" fontId="36" fillId="9" borderId="0" applyBorder="0" applyAlignment="0" applyProtection="0"/>
    <xf numFmtId="37" fontId="36" fillId="9" borderId="0" applyBorder="0" applyAlignment="0" applyProtection="0"/>
    <xf numFmtId="37" fontId="36" fillId="12" borderId="0" applyBorder="0" applyAlignment="0" applyProtection="0"/>
    <xf numFmtId="37" fontId="36" fillId="12" borderId="0" applyBorder="0" applyAlignment="0" applyProtection="0"/>
    <xf numFmtId="37" fontId="57" fillId="13" borderId="0" applyBorder="0" applyAlignment="0" applyProtection="0"/>
    <xf numFmtId="37" fontId="57" fillId="10" borderId="0" applyBorder="0" applyAlignment="0" applyProtection="0"/>
    <xf numFmtId="37" fontId="57" fillId="11" borderId="0" applyBorder="0" applyAlignment="0" applyProtection="0"/>
    <xf numFmtId="37" fontId="57" fillId="14" borderId="0" applyBorder="0" applyAlignment="0" applyProtection="0"/>
    <xf numFmtId="37" fontId="57" fillId="15" borderId="0" applyBorder="0" applyAlignment="0" applyProtection="0"/>
    <xf numFmtId="37" fontId="57" fillId="16" borderId="0" applyBorder="0" applyAlignment="0" applyProtection="0"/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192" fontId="58" fillId="18" borderId="0" applyAlignment="0"/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192" fontId="58" fillId="18" borderId="0" applyAlignment="0"/>
    <xf numFmtId="192" fontId="58" fillId="18" borderId="0" applyAlignment="0"/>
    <xf numFmtId="0" fontId="58" fillId="17" borderId="0" applyNumberFormat="0" applyBorder="0" applyAlignment="0">
      <alignment horizontal="center"/>
    </xf>
    <xf numFmtId="192" fontId="58" fillId="18" borderId="0" applyAlignment="0"/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7" borderId="0" applyNumberFormat="0" applyBorder="0" applyAlignment="0">
      <alignment horizontal="center"/>
    </xf>
    <xf numFmtId="0" fontId="58" fillId="18" borderId="0" applyNumberFormat="0" applyBorder="0" applyAlignment="0"/>
    <xf numFmtId="192" fontId="58" fillId="18" borderId="0" applyAlignment="0"/>
    <xf numFmtId="192" fontId="58" fillId="18" borderId="0" applyAlignment="0"/>
    <xf numFmtId="0" fontId="58" fillId="17" borderId="0" applyNumberFormat="0" applyBorder="0" applyAlignment="0">
      <alignment horizontal="center"/>
    </xf>
    <xf numFmtId="41" fontId="5" fillId="0" borderId="0" applyFont="0" applyBorder="0" applyAlignment="0"/>
    <xf numFmtId="166" fontId="5" fillId="0" borderId="0" applyFont="0" applyBorder="0" applyAlignment="0"/>
    <xf numFmtId="43" fontId="5" fillId="0" borderId="0" applyFont="0" applyBorder="0" applyAlignment="0"/>
    <xf numFmtId="168" fontId="5" fillId="0" borderId="0" applyFont="0" applyBorder="0" applyAlignment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59" fillId="20" borderId="0" applyNumberFormat="0" applyBorder="0" applyAlignment="0" applyProtection="0"/>
    <xf numFmtId="37" fontId="57" fillId="21" borderId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59" fillId="24" borderId="0" applyNumberFormat="0" applyBorder="0" applyAlignment="0" applyProtection="0"/>
    <xf numFmtId="37" fontId="57" fillId="25" borderId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59" fillId="23" borderId="0" applyNumberFormat="0" applyBorder="0" applyAlignment="0" applyProtection="0"/>
    <xf numFmtId="37" fontId="57" fillId="27" borderId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59" fillId="23" borderId="0" applyNumberFormat="0" applyBorder="0" applyAlignment="0" applyProtection="0"/>
    <xf numFmtId="37" fontId="57" fillId="14" borderId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59" fillId="20" borderId="0" applyNumberFormat="0" applyBorder="0" applyAlignment="0" applyProtection="0"/>
    <xf numFmtId="37" fontId="57" fillId="15" borderId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59" fillId="29" borderId="0" applyNumberFormat="0" applyBorder="0" applyAlignment="0" applyProtection="0"/>
    <xf numFmtId="37" fontId="57" fillId="30" borderId="0" applyBorder="0" applyAlignment="0" applyProtection="0"/>
    <xf numFmtId="193" fontId="10" fillId="0" borderId="0" applyFont="0" applyFill="0" applyBorder="0" applyAlignment="0" applyProtection="0"/>
    <xf numFmtId="0" fontId="6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 applyNumberFormat="0" applyBorder="0" applyAlignment="0">
      <alignment horizontal="centerContinuous" vertical="center"/>
    </xf>
    <xf numFmtId="0" fontId="62" fillId="0" borderId="3" applyFont="0" applyFill="0" applyBorder="0" applyAlignment="0" applyProtection="0">
      <alignment horizontal="center" vertical="center"/>
    </xf>
    <xf numFmtId="0" fontId="63" fillId="0" borderId="0">
      <alignment horizontal="center" wrapText="1"/>
      <protection locked="0"/>
    </xf>
    <xf numFmtId="0" fontId="5" fillId="0" borderId="0" applyFill="0" applyBorder="0">
      <alignment vertical="center"/>
    </xf>
    <xf numFmtId="0" fontId="5" fillId="0" borderId="0"/>
    <xf numFmtId="195" fontId="1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4" fillId="0" borderId="0"/>
    <xf numFmtId="196" fontId="1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56" fillId="50" borderId="0" applyNumberFormat="0" applyBorder="0" applyAlignment="0" applyProtection="0"/>
    <xf numFmtId="0" fontId="156" fillId="50" borderId="0" applyNumberFormat="0" applyBorder="0" applyAlignment="0" applyProtection="0"/>
    <xf numFmtId="0" fontId="6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4" applyNumberFormat="0" applyBorder="0">
      <alignment horizontal="center"/>
    </xf>
    <xf numFmtId="0" fontId="11" fillId="0" borderId="4" applyNumberFormat="0" applyBorder="0">
      <alignment horizont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5" applyNumberFormat="0" applyFill="0" applyAlignment="0" applyProtection="0">
      <alignment horizontal="center"/>
    </xf>
    <xf numFmtId="0" fontId="60" fillId="0" borderId="0"/>
    <xf numFmtId="0" fontId="56" fillId="0" borderId="0"/>
    <xf numFmtId="0" fontId="60" fillId="0" borderId="0"/>
    <xf numFmtId="197" fontId="5" fillId="0" borderId="0" applyFill="0" applyBorder="0" applyAlignment="0"/>
    <xf numFmtId="198" fontId="33" fillId="0" borderId="0" applyFill="0" applyBorder="0" applyAlignment="0"/>
    <xf numFmtId="199" fontId="33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99" fontId="33" fillId="0" borderId="0" applyFill="0" applyBorder="0" applyAlignment="0"/>
    <xf numFmtId="0" fontId="5" fillId="0" borderId="0" applyFill="0" applyBorder="0" applyAlignment="0"/>
    <xf numFmtId="198" fontId="33" fillId="0" borderId="0" applyFill="0" applyBorder="0" applyAlignment="0"/>
    <xf numFmtId="37" fontId="66" fillId="31" borderId="6" applyAlignment="0" applyProtection="0"/>
    <xf numFmtId="37" fontId="66" fillId="31" borderId="6" applyAlignment="0" applyProtection="0"/>
    <xf numFmtId="37" fontId="67" fillId="32" borderId="7" applyAlignment="0" applyProtection="0"/>
    <xf numFmtId="43" fontId="18" fillId="0" borderId="0" applyFont="0" applyFill="0" applyBorder="0" applyAlignment="0" applyProtection="0"/>
    <xf numFmtId="37" fontId="68" fillId="0" borderId="0"/>
    <xf numFmtId="37" fontId="69" fillId="0" borderId="0"/>
    <xf numFmtId="37" fontId="68" fillId="0" borderId="0"/>
    <xf numFmtId="37" fontId="69" fillId="0" borderId="0"/>
    <xf numFmtId="37" fontId="68" fillId="0" borderId="0"/>
    <xf numFmtId="37" fontId="69" fillId="0" borderId="0"/>
    <xf numFmtId="37" fontId="68" fillId="0" borderId="0"/>
    <xf numFmtId="37" fontId="69" fillId="0" borderId="0"/>
    <xf numFmtId="37" fontId="68" fillId="0" borderId="0"/>
    <xf numFmtId="37" fontId="69" fillId="0" borderId="0"/>
    <xf numFmtId="37" fontId="68" fillId="0" borderId="0"/>
    <xf numFmtId="37" fontId="69" fillId="0" borderId="0"/>
    <xf numFmtId="37" fontId="68" fillId="0" borderId="0"/>
    <xf numFmtId="37" fontId="69" fillId="0" borderId="0"/>
    <xf numFmtId="37" fontId="68" fillId="0" borderId="0"/>
    <xf numFmtId="37" fontId="69" fillId="0" borderId="0"/>
    <xf numFmtId="41" fontId="18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8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1" fontId="157" fillId="0" borderId="0">
      <alignment vertical="top"/>
      <protection locked="0"/>
    </xf>
    <xf numFmtId="166" fontId="36" fillId="0" borderId="0" applyFont="0" applyFill="0" applyBorder="0" applyAlignment="0" applyProtection="0"/>
    <xf numFmtId="4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8" fontId="1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2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99" fontId="33" fillId="0" borderId="0" applyFont="0" applyFill="0" applyBorder="0" applyAlignment="0" applyProtection="0"/>
    <xf numFmtId="41" fontId="70" fillId="0" borderId="8" applyBorder="0" applyAlignment="0"/>
    <xf numFmtId="166" fontId="70" fillId="0" borderId="8" applyBorder="0" applyAlignment="0"/>
    <xf numFmtId="41" fontId="5" fillId="0" borderId="0"/>
    <xf numFmtId="166" fontId="5" fillId="0" borderId="0"/>
    <xf numFmtId="38" fontId="7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5" fillId="0" borderId="0"/>
    <xf numFmtId="43" fontId="5" fillId="0" borderId="0"/>
    <xf numFmtId="168" fontId="5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/>
    <xf numFmtId="43" fontId="5" fillId="0" borderId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/>
    <xf numFmtId="168" fontId="5" fillId="0" borderId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5" fillId="0" borderId="0" applyFont="0" applyFill="0" applyBorder="0" applyAlignment="0" applyProtection="0"/>
    <xf numFmtId="5" fontId="5" fillId="0" borderId="0" applyFill="0" applyBorder="0" applyAlignment="0" applyProtection="0"/>
    <xf numFmtId="164" fontId="5" fillId="0" borderId="0" applyFill="0" applyBorder="0" applyAlignment="0" applyProtection="0"/>
    <xf numFmtId="5" fontId="5" fillId="0" borderId="0" applyFill="0" applyBorder="0" applyAlignment="0" applyProtection="0"/>
    <xf numFmtId="164" fontId="5" fillId="0" borderId="0" applyFill="0" applyBorder="0" applyAlignment="0" applyProtection="0"/>
    <xf numFmtId="43" fontId="19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00" fontId="5" fillId="0" borderId="0" applyFill="0" applyBorder="0" applyAlignment="0" applyProtection="0"/>
    <xf numFmtId="5" fontId="5" fillId="0" borderId="0" applyFill="0" applyBorder="0" applyAlignment="0" applyProtection="0"/>
    <xf numFmtId="164" fontId="5" fillId="0" borderId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2" fillId="0" borderId="0" applyFill="0" applyBorder="0" applyAlignment="0" applyProtection="0"/>
    <xf numFmtId="168" fontId="72" fillId="0" borderId="0" applyFill="0" applyBorder="0" applyAlignment="0" applyProtection="0"/>
    <xf numFmtId="168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1" fillId="0" borderId="0" applyBorder="0" applyAlignment="0" applyProtection="0"/>
    <xf numFmtId="43" fontId="5" fillId="0" borderId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5" fillId="0" borderId="0"/>
    <xf numFmtId="43" fontId="5" fillId="0" borderId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5" fillId="0" borderId="0"/>
    <xf numFmtId="168" fontId="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8" fillId="0" borderId="0">
      <alignment vertical="top"/>
      <protection locked="0"/>
    </xf>
    <xf numFmtId="43" fontId="1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168" fontId="5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5" fillId="0" borderId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201" fontId="5" fillId="0" borderId="0">
      <protection locked="0"/>
    </xf>
    <xf numFmtId="0" fontId="73" fillId="0" borderId="0" applyNumberFormat="0" applyAlignment="0">
      <alignment horizontal="left"/>
    </xf>
    <xf numFmtId="202" fontId="74" fillId="33" borderId="0" applyFill="0">
      <alignment horizontal="left" vertical="top"/>
      <protection locked="0"/>
    </xf>
    <xf numFmtId="42" fontId="18" fillId="0" borderId="0" applyFont="0" applyFill="0" applyBorder="0" applyAlignment="0" applyProtection="0"/>
    <xf numFmtId="4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36" fillId="0" borderId="0" applyFont="0" applyFill="0" applyBorder="0" applyAlignment="0" applyProtection="0"/>
    <xf numFmtId="165" fontId="18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8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>
      <protection locked="0"/>
    </xf>
    <xf numFmtId="0" fontId="5" fillId="2" borderId="0" applyFont="0" applyBorder="0"/>
    <xf numFmtId="0" fontId="75" fillId="0" borderId="0"/>
    <xf numFmtId="0" fontId="75" fillId="0" borderId="9"/>
    <xf numFmtId="0" fontId="75" fillId="0" borderId="9"/>
    <xf numFmtId="205" fontId="42" fillId="0" borderId="0">
      <protection locked="0"/>
    </xf>
    <xf numFmtId="0" fontId="42" fillId="0" borderId="0">
      <protection locked="0"/>
    </xf>
    <xf numFmtId="14" fontId="76" fillId="0" borderId="0" applyFill="0" applyBorder="0" applyAlignment="0"/>
    <xf numFmtId="205" fontId="42" fillId="0" borderId="0">
      <protection locked="0"/>
    </xf>
    <xf numFmtId="0" fontId="5" fillId="0" borderId="0" applyNumberFormat="0">
      <alignment horizontal="centerContinuous"/>
    </xf>
    <xf numFmtId="206" fontId="77" fillId="0" borderId="0" applyFont="0" applyFill="0" applyBorder="0">
      <alignment horizontal="left" vertical="top" wrapText="1"/>
      <protection locked="0"/>
    </xf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" fillId="0" borderId="0">
      <alignment vertical="center"/>
    </xf>
    <xf numFmtId="0" fontId="78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199" fontId="33" fillId="0" borderId="0" applyFill="0" applyBorder="0" applyAlignment="0"/>
    <xf numFmtId="198" fontId="33" fillId="0" borderId="0" applyFill="0" applyBorder="0" applyAlignment="0"/>
    <xf numFmtId="199" fontId="33" fillId="0" borderId="0" applyFill="0" applyBorder="0" applyAlignment="0"/>
    <xf numFmtId="0" fontId="5" fillId="0" borderId="0" applyFill="0" applyBorder="0" applyAlignment="0"/>
    <xf numFmtId="198" fontId="33" fillId="0" borderId="0" applyFill="0" applyBorder="0" applyAlignment="0"/>
    <xf numFmtId="0" fontId="79" fillId="0" borderId="0" applyNumberFormat="0" applyAlignment="0">
      <alignment horizontal="left"/>
    </xf>
    <xf numFmtId="209" fontId="5" fillId="0" borderId="0" applyFont="0" applyFill="0" applyBorder="0" applyAlignment="0" applyProtection="0"/>
    <xf numFmtId="37" fontId="80" fillId="0" borderId="0" applyFill="0" applyBorder="0" applyAlignment="0" applyProtection="0"/>
    <xf numFmtId="210" fontId="10" fillId="0" borderId="10" applyFont="0" applyBorder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81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81" fillId="0" borderId="0">
      <protection locked="0"/>
    </xf>
    <xf numFmtId="211" fontId="42" fillId="0" borderId="0">
      <protection locked="0"/>
    </xf>
    <xf numFmtId="212" fontId="5" fillId="0" borderId="0"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213" fontId="77" fillId="0" borderId="0" applyFont="0">
      <alignment horizontal="left"/>
      <protection locked="0"/>
    </xf>
    <xf numFmtId="37" fontId="83" fillId="5" borderId="0" applyBorder="0" applyAlignment="0" applyProtection="0"/>
    <xf numFmtId="0" fontId="26" fillId="31" borderId="0" applyNumberFormat="0" applyBorder="0" applyAlignment="0" applyProtection="0"/>
    <xf numFmtId="214" fontId="5" fillId="0" borderId="11" applyFont="0" applyFill="0" applyBorder="0" applyAlignment="0"/>
    <xf numFmtId="202" fontId="84" fillId="0" borderId="0">
      <alignment horizontal="left"/>
    </xf>
    <xf numFmtId="0" fontId="85" fillId="36" borderId="12"/>
    <xf numFmtId="0" fontId="4" fillId="0" borderId="13" applyNumberFormat="0" applyAlignment="0" applyProtection="0">
      <alignment horizontal="left" vertical="center"/>
    </xf>
    <xf numFmtId="0" fontId="4" fillId="0" borderId="14">
      <alignment horizontal="left" vertical="center"/>
    </xf>
    <xf numFmtId="0" fontId="4" fillId="0" borderId="14">
      <alignment horizontal="left" vertical="center"/>
    </xf>
    <xf numFmtId="0" fontId="6" fillId="37" borderId="15">
      <alignment vertical="center" wrapText="1"/>
    </xf>
    <xf numFmtId="37" fontId="86" fillId="0" borderId="16" applyFill="0" applyAlignment="0" applyProtection="0"/>
    <xf numFmtId="0" fontId="87" fillId="0" borderId="0">
      <protection locked="0"/>
    </xf>
    <xf numFmtId="37" fontId="88" fillId="0" borderId="17" applyFill="0" applyAlignment="0" applyProtection="0"/>
    <xf numFmtId="0" fontId="89" fillId="0" borderId="0">
      <protection locked="0"/>
    </xf>
    <xf numFmtId="37" fontId="90" fillId="0" borderId="18" applyFill="0" applyAlignment="0" applyProtection="0"/>
    <xf numFmtId="37" fontId="90" fillId="0" borderId="0" applyFill="0" applyBorder="0" applyAlignment="0" applyProtection="0"/>
    <xf numFmtId="186" fontId="87" fillId="0" borderId="0">
      <protection locked="0"/>
    </xf>
    <xf numFmtId="186" fontId="91" fillId="0" borderId="0">
      <protection locked="0"/>
    </xf>
    <xf numFmtId="186" fontId="87" fillId="0" borderId="0">
      <protection locked="0"/>
    </xf>
    <xf numFmtId="0" fontId="92" fillId="0" borderId="19">
      <alignment horizontal="center"/>
    </xf>
    <xf numFmtId="0" fontId="92" fillId="0" borderId="0">
      <alignment horizontal="center"/>
    </xf>
    <xf numFmtId="191" fontId="62" fillId="0" borderId="0" applyFont="0" applyFill="0" applyBorder="0" applyAlignment="0" applyProtection="0">
      <alignment horizontal="center"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26" fillId="38" borderId="0" applyNumberFormat="0" applyBorder="0" applyAlignment="0" applyProtection="0"/>
    <xf numFmtId="10" fontId="26" fillId="39" borderId="20" applyNumberFormat="0" applyBorder="0" applyAlignment="0" applyProtection="0"/>
    <xf numFmtId="37" fontId="94" fillId="8" borderId="6" applyAlignment="0" applyProtection="0"/>
    <xf numFmtId="37" fontId="94" fillId="8" borderId="6" applyAlignment="0" applyProtection="0"/>
    <xf numFmtId="202" fontId="77" fillId="0" borderId="0" applyFont="0">
      <alignment horizontal="left"/>
    </xf>
    <xf numFmtId="202" fontId="5" fillId="0" borderId="0">
      <alignment horizontal="left"/>
    </xf>
    <xf numFmtId="202" fontId="5" fillId="0" borderId="0">
      <alignment horizontal="left"/>
    </xf>
    <xf numFmtId="0" fontId="95" fillId="0" borderId="8" applyNumberFormat="0" applyFont="0" applyFill="0" applyBorder="0" applyAlignment="0" applyProtection="0">
      <protection locked="0" hidden="1"/>
    </xf>
    <xf numFmtId="202" fontId="77" fillId="0" borderId="0" applyFont="0" applyFill="0" applyBorder="0">
      <alignment horizontal="left"/>
    </xf>
    <xf numFmtId="202" fontId="5" fillId="0" borderId="0" applyFill="0" applyBorder="0">
      <alignment horizontal="left"/>
    </xf>
    <xf numFmtId="202" fontId="5" fillId="0" borderId="0" applyFill="0" applyBorder="0">
      <alignment horizontal="left"/>
    </xf>
    <xf numFmtId="0" fontId="96" fillId="40" borderId="9"/>
    <xf numFmtId="0" fontId="96" fillId="40" borderId="9"/>
    <xf numFmtId="40" fontId="26" fillId="0" borderId="0" applyFont="0">
      <protection locked="0"/>
    </xf>
    <xf numFmtId="199" fontId="33" fillId="0" borderId="0" applyFill="0" applyBorder="0" applyAlignment="0"/>
    <xf numFmtId="198" fontId="33" fillId="0" borderId="0" applyFill="0" applyBorder="0" applyAlignment="0"/>
    <xf numFmtId="199" fontId="33" fillId="0" borderId="0" applyFill="0" applyBorder="0" applyAlignment="0"/>
    <xf numFmtId="0" fontId="5" fillId="0" borderId="0" applyFill="0" applyBorder="0" applyAlignment="0"/>
    <xf numFmtId="198" fontId="33" fillId="0" borderId="0" applyFill="0" applyBorder="0" applyAlignment="0"/>
    <xf numFmtId="37" fontId="97" fillId="0" borderId="21" applyFill="0" applyAlignment="0" applyProtection="0"/>
    <xf numFmtId="39" fontId="98" fillId="0" borderId="22"/>
    <xf numFmtId="0" fontId="29" fillId="0" borderId="11">
      <alignment horizontal="center"/>
    </xf>
    <xf numFmtId="202" fontId="5" fillId="0" borderId="0" applyFill="0" applyBorder="0">
      <alignment horizontal="left"/>
    </xf>
    <xf numFmtId="0" fontId="29" fillId="0" borderId="22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22">
      <alignment horizontal="center"/>
    </xf>
    <xf numFmtId="0" fontId="29" fillId="0" borderId="22">
      <alignment horizontal="center"/>
    </xf>
    <xf numFmtId="0" fontId="29" fillId="0" borderId="22">
      <alignment horizontal="center"/>
    </xf>
    <xf numFmtId="0" fontId="29" fillId="0" borderId="22">
      <alignment horizontal="center"/>
    </xf>
    <xf numFmtId="0" fontId="29" fillId="0" borderId="22">
      <alignment horizontal="center"/>
    </xf>
    <xf numFmtId="0" fontId="29" fillId="0" borderId="11">
      <alignment horizontal="center"/>
    </xf>
    <xf numFmtId="0" fontId="29" fillId="0" borderId="22">
      <alignment horizontal="center"/>
    </xf>
    <xf numFmtId="202" fontId="5" fillId="0" borderId="0" applyFill="0" applyBorder="0">
      <alignment horizontal="left"/>
    </xf>
    <xf numFmtId="0" fontId="29" fillId="0" borderId="22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11">
      <alignment horizontal="center"/>
    </xf>
    <xf numFmtId="0" fontId="29" fillId="0" borderId="22">
      <alignment horizontal="center"/>
    </xf>
    <xf numFmtId="0" fontId="29" fillId="0" borderId="22">
      <alignment horizontal="center"/>
    </xf>
    <xf numFmtId="202" fontId="77" fillId="0" borderId="0" applyFont="0" applyFill="0" applyBorder="0">
      <alignment horizontal="left"/>
    </xf>
    <xf numFmtId="206" fontId="30" fillId="0" borderId="0">
      <alignment horizontal="left" vertical="top"/>
      <protection locked="0"/>
    </xf>
    <xf numFmtId="0" fontId="62" fillId="0" borderId="0" applyFont="0" applyFill="0" applyBorder="0" applyProtection="0">
      <alignment horizontal="center" vertical="center"/>
    </xf>
    <xf numFmtId="0" fontId="95" fillId="0" borderId="0"/>
    <xf numFmtId="206" fontId="26" fillId="0" borderId="0" applyFont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02" fontId="77" fillId="0" borderId="0" applyFont="0" applyFill="0" applyBorder="0">
      <alignment horizontal="left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202" fontId="77" fillId="0" borderId="0" applyFont="0">
      <alignment horizontal="left"/>
    </xf>
    <xf numFmtId="202" fontId="5" fillId="0" borderId="0">
      <alignment horizontal="left"/>
    </xf>
    <xf numFmtId="202" fontId="5" fillId="0" borderId="0">
      <alignment horizontal="left"/>
    </xf>
    <xf numFmtId="37" fontId="99" fillId="41" borderId="0" applyBorder="0" applyAlignment="0" applyProtection="0"/>
    <xf numFmtId="0" fontId="12" fillId="0" borderId="0"/>
    <xf numFmtId="37" fontId="100" fillId="0" borderId="0"/>
    <xf numFmtId="215" fontId="101" fillId="0" borderId="0"/>
    <xf numFmtId="0" fontId="5" fillId="0" borderId="0"/>
    <xf numFmtId="0" fontId="102" fillId="0" borderId="0"/>
    <xf numFmtId="0" fontId="103" fillId="0" borderId="0"/>
    <xf numFmtId="0" fontId="10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2" fillId="0" borderId="0" applyNumberFormat="0" applyAlignment="0">
      <alignment horizontal="center"/>
    </xf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 applyProtection="0"/>
    <xf numFmtId="0" fontId="158" fillId="0" borderId="0"/>
    <xf numFmtId="0" fontId="5" fillId="0" borderId="0"/>
    <xf numFmtId="0" fontId="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>
      <protection locked="0"/>
    </xf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23" fillId="0" borderId="0"/>
    <xf numFmtId="0" fontId="158" fillId="0" borderId="0"/>
    <xf numFmtId="0" fontId="158" fillId="0" borderId="0"/>
    <xf numFmtId="0" fontId="12" fillId="0" borderId="0"/>
    <xf numFmtId="0" fontId="158" fillId="0" borderId="0"/>
    <xf numFmtId="0" fontId="158" fillId="0" borderId="0"/>
    <xf numFmtId="0" fontId="5" fillId="0" borderId="0"/>
    <xf numFmtId="0" fontId="18" fillId="0" borderId="0"/>
    <xf numFmtId="0" fontId="5" fillId="0" borderId="0" applyProtection="0"/>
    <xf numFmtId="0" fontId="1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5" fillId="0" borderId="0"/>
    <xf numFmtId="0" fontId="158" fillId="0" borderId="0"/>
    <xf numFmtId="0" fontId="5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8" fillId="0" borderId="0"/>
    <xf numFmtId="0" fontId="18" fillId="0" borderId="0"/>
    <xf numFmtId="0" fontId="158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8" fillId="0" borderId="0"/>
    <xf numFmtId="0" fontId="5" fillId="0" borderId="0"/>
    <xf numFmtId="0" fontId="158" fillId="0" borderId="0"/>
    <xf numFmtId="0" fontId="26" fillId="0" borderId="0"/>
    <xf numFmtId="0" fontId="15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 applyProtection="0"/>
    <xf numFmtId="0" fontId="5" fillId="0" borderId="0"/>
    <xf numFmtId="0" fontId="26" fillId="0" borderId="0"/>
    <xf numFmtId="0" fontId="5" fillId="0" borderId="0" applyProtection="0"/>
    <xf numFmtId="0" fontId="26" fillId="0" borderId="0"/>
    <xf numFmtId="0" fontId="18" fillId="0" borderId="0"/>
    <xf numFmtId="0" fontId="22" fillId="0" borderId="0"/>
    <xf numFmtId="0" fontId="5" fillId="0" borderId="0"/>
    <xf numFmtId="0" fontId="21" fillId="0" borderId="0"/>
    <xf numFmtId="0" fontId="5" fillId="0" borderId="0"/>
    <xf numFmtId="0" fontId="36" fillId="0" borderId="0"/>
    <xf numFmtId="0" fontId="36" fillId="0" borderId="0"/>
    <xf numFmtId="0" fontId="158" fillId="0" borderId="0"/>
    <xf numFmtId="0" fontId="18" fillId="0" borderId="0"/>
    <xf numFmtId="0" fontId="36" fillId="0" borderId="0"/>
    <xf numFmtId="0" fontId="18" fillId="0" borderId="0"/>
    <xf numFmtId="0" fontId="1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6" fillId="0" borderId="0"/>
    <xf numFmtId="37" fontId="104" fillId="0" borderId="0"/>
    <xf numFmtId="37" fontId="104" fillId="0" borderId="0"/>
    <xf numFmtId="0" fontId="18" fillId="0" borderId="0"/>
    <xf numFmtId="37" fontId="104" fillId="0" borderId="0"/>
    <xf numFmtId="37" fontId="104" fillId="0" borderId="0"/>
    <xf numFmtId="37" fontId="104" fillId="0" borderId="0"/>
    <xf numFmtId="37" fontId="104" fillId="0" borderId="0"/>
    <xf numFmtId="37" fontId="104" fillId="0" borderId="0"/>
    <xf numFmtId="0" fontId="18" fillId="0" borderId="0"/>
    <xf numFmtId="0" fontId="18" fillId="0" borderId="0"/>
    <xf numFmtId="0" fontId="18" fillId="0" borderId="0"/>
    <xf numFmtId="0" fontId="158" fillId="0" borderId="0"/>
    <xf numFmtId="0" fontId="21" fillId="0" borderId="0"/>
    <xf numFmtId="0" fontId="104" fillId="0" borderId="0"/>
    <xf numFmtId="0" fontId="7" fillId="0" borderId="0"/>
    <xf numFmtId="0" fontId="18" fillId="0" borderId="0">
      <protection locked="0"/>
    </xf>
    <xf numFmtId="0" fontId="158" fillId="0" borderId="0"/>
    <xf numFmtId="0" fontId="7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5" fillId="0" borderId="0" applyProtection="0"/>
    <xf numFmtId="0" fontId="18" fillId="0" borderId="0"/>
    <xf numFmtId="0" fontId="1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55" fillId="0" borderId="0"/>
    <xf numFmtId="0" fontId="18" fillId="0" borderId="0"/>
    <xf numFmtId="0" fontId="18" fillId="0" borderId="0"/>
    <xf numFmtId="0" fontId="18" fillId="0" borderId="0"/>
    <xf numFmtId="37" fontId="104" fillId="0" borderId="0"/>
    <xf numFmtId="0" fontId="10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5" fillId="0" borderId="0"/>
    <xf numFmtId="0" fontId="158" fillId="0" borderId="0"/>
    <xf numFmtId="0" fontId="5" fillId="0" borderId="0"/>
    <xf numFmtId="0" fontId="5" fillId="0" borderId="0"/>
    <xf numFmtId="0" fontId="158" fillId="0" borderId="0"/>
    <xf numFmtId="0" fontId="158" fillId="0" borderId="0"/>
    <xf numFmtId="0" fontId="5" fillId="0" borderId="0"/>
    <xf numFmtId="0" fontId="12" fillId="0" borderId="0"/>
    <xf numFmtId="0" fontId="27" fillId="0" borderId="0">
      <alignment vertical="center"/>
    </xf>
    <xf numFmtId="0" fontId="18" fillId="0" borderId="0"/>
    <xf numFmtId="0" fontId="5" fillId="0" borderId="0"/>
    <xf numFmtId="0" fontId="18" fillId="0" borderId="0">
      <alignment vertical="center"/>
    </xf>
    <xf numFmtId="0" fontId="25" fillId="0" borderId="0"/>
    <xf numFmtId="0" fontId="7" fillId="0" borderId="0"/>
    <xf numFmtId="0" fontId="5" fillId="0" borderId="0" applyProtection="0"/>
    <xf numFmtId="0" fontId="5" fillId="0" borderId="0" applyProtection="0"/>
    <xf numFmtId="0" fontId="5" fillId="0" borderId="0"/>
    <xf numFmtId="0" fontId="106" fillId="42" borderId="23" applyBorder="0">
      <alignment horizontal="center" vertical="justify"/>
    </xf>
    <xf numFmtId="0" fontId="106" fillId="42" borderId="23" applyBorder="0">
      <alignment horizontal="center" vertical="justify"/>
    </xf>
    <xf numFmtId="0" fontId="15" fillId="0" borderId="0"/>
    <xf numFmtId="0" fontId="12" fillId="0" borderId="8" applyAlignment="0" applyProtection="0">
      <alignment horizontal="center"/>
    </xf>
    <xf numFmtId="0" fontId="11" fillId="0" borderId="0" applyFill="0" applyAlignment="0" applyProtection="0"/>
    <xf numFmtId="37" fontId="107" fillId="43" borderId="24" applyAlignment="0" applyProtection="0"/>
    <xf numFmtId="37" fontId="107" fillId="43" borderId="24" applyAlignment="0" applyProtection="0"/>
    <xf numFmtId="191" fontId="108" fillId="0" borderId="0" applyFont="0">
      <alignment horizontal="right"/>
      <protection locked="0"/>
    </xf>
    <xf numFmtId="191" fontId="108" fillId="0" borderId="0" applyFont="0">
      <alignment horizontal="right"/>
      <protection locked="0"/>
    </xf>
    <xf numFmtId="191" fontId="108" fillId="0" borderId="0" applyFont="0">
      <alignment horizontal="right"/>
      <protection locked="0"/>
    </xf>
    <xf numFmtId="191" fontId="108" fillId="0" borderId="0" applyFont="0">
      <alignment horizontal="right"/>
      <protection locked="0"/>
    </xf>
    <xf numFmtId="191" fontId="108" fillId="0" borderId="0" applyFont="0">
      <alignment horizontal="right"/>
      <protection locked="0"/>
    </xf>
    <xf numFmtId="191" fontId="108" fillId="0" borderId="0" applyFont="0">
      <alignment horizontal="right"/>
      <protection locked="0"/>
    </xf>
    <xf numFmtId="191" fontId="108" fillId="0" borderId="0" applyFont="0">
      <alignment horizontal="right"/>
      <protection locked="0"/>
    </xf>
    <xf numFmtId="213" fontId="26" fillId="0" borderId="0" applyFont="0">
      <protection locked="0"/>
    </xf>
    <xf numFmtId="3" fontId="6" fillId="0" borderId="25" applyFont="0" applyBorder="0" applyAlignment="0">
      <alignment horizont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37" fontId="109" fillId="31" borderId="26" applyAlignment="0" applyProtection="0"/>
    <xf numFmtId="37" fontId="109" fillId="31" borderId="26" applyAlignment="0" applyProtection="0"/>
    <xf numFmtId="14" fontId="63" fillId="0" borderId="0">
      <alignment horizontal="center" wrapText="1"/>
      <protection locked="0"/>
    </xf>
    <xf numFmtId="9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216" fontId="5" fillId="0" borderId="0" applyFont="0" applyFill="0" applyBorder="0" applyAlignment="0" applyProtection="0"/>
    <xf numFmtId="10" fontId="5" fillId="0" borderId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27" applyNumberFormat="0" applyBorder="0"/>
    <xf numFmtId="39" fontId="110" fillId="44" borderId="9"/>
    <xf numFmtId="199" fontId="33" fillId="0" borderId="0" applyFill="0" applyBorder="0" applyAlignment="0"/>
    <xf numFmtId="198" fontId="33" fillId="0" borderId="0" applyFill="0" applyBorder="0" applyAlignment="0"/>
    <xf numFmtId="199" fontId="33" fillId="0" borderId="0" applyFill="0" applyBorder="0" applyAlignment="0"/>
    <xf numFmtId="0" fontId="5" fillId="0" borderId="0" applyFill="0" applyBorder="0" applyAlignment="0"/>
    <xf numFmtId="198" fontId="33" fillId="0" borderId="0" applyFill="0" applyBorder="0" applyAlignment="0"/>
    <xf numFmtId="0" fontId="18" fillId="0" borderId="0"/>
    <xf numFmtId="40" fontId="77" fillId="0" borderId="0" applyFont="0">
      <protection locked="0"/>
    </xf>
    <xf numFmtId="40" fontId="84" fillId="0" borderId="0" applyFont="0">
      <protection locked="0"/>
    </xf>
    <xf numFmtId="0" fontId="111" fillId="45" borderId="0" applyNumberFormat="0" applyFont="0" applyBorder="0" applyAlignment="0">
      <alignment horizontal="center"/>
    </xf>
    <xf numFmtId="0" fontId="75" fillId="0" borderId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217" fontId="5" fillId="0" borderId="0" applyNumberFormat="0" applyFill="0" applyBorder="0" applyAlignment="0" applyProtection="0">
      <alignment horizontal="left"/>
    </xf>
    <xf numFmtId="0" fontId="5" fillId="0" borderId="0"/>
    <xf numFmtId="0" fontId="18" fillId="0" borderId="0"/>
    <xf numFmtId="10" fontId="5" fillId="0" borderId="0">
      <alignment vertical="center" textRotation="90"/>
    </xf>
    <xf numFmtId="206" fontId="113" fillId="0" borderId="0" applyFont="0">
      <alignment horizontal="left"/>
    </xf>
    <xf numFmtId="0" fontId="111" fillId="1" borderId="14" applyNumberFormat="0" applyFont="0" applyAlignment="0">
      <alignment horizontal="center"/>
    </xf>
    <xf numFmtId="0" fontId="111" fillId="1" borderId="14" applyNumberFormat="0" applyFont="0" applyAlignment="0">
      <alignment horizontal="center"/>
    </xf>
    <xf numFmtId="0" fontId="114" fillId="0" borderId="0" applyNumberFormat="0" applyFill="0" applyBorder="0" applyAlignment="0" applyProtection="0"/>
    <xf numFmtId="39" fontId="98" fillId="0" borderId="22"/>
    <xf numFmtId="0" fontId="115" fillId="0" borderId="0" applyNumberFormat="0" applyFill="0" applyBorder="0" applyAlignment="0">
      <alignment horizontal="center"/>
    </xf>
    <xf numFmtId="37" fontId="116" fillId="46" borderId="0"/>
    <xf numFmtId="0" fontId="117" fillId="0" borderId="20">
      <alignment horizontal="center"/>
    </xf>
    <xf numFmtId="0" fontId="32" fillId="0" borderId="0"/>
    <xf numFmtId="0" fontId="5" fillId="0" borderId="0"/>
    <xf numFmtId="0" fontId="117" fillId="0" borderId="20">
      <alignment horizontal="center"/>
    </xf>
    <xf numFmtId="0" fontId="117" fillId="0" borderId="0">
      <alignment horizontal="center" vertical="center"/>
    </xf>
    <xf numFmtId="0" fontId="118" fillId="44" borderId="0" applyNumberFormat="0" applyFill="0">
      <alignment horizontal="left" vertical="center"/>
    </xf>
    <xf numFmtId="0" fontId="119" fillId="0" borderId="0" applyNumberFormat="0" applyProtection="0">
      <alignment wrapText="1"/>
      <protection locked="0"/>
    </xf>
    <xf numFmtId="40" fontId="120" fillId="0" borderId="0" applyBorder="0">
      <alignment horizontal="right"/>
    </xf>
    <xf numFmtId="206" fontId="77" fillId="0" borderId="0" applyFont="0">
      <protection locked="0"/>
    </xf>
    <xf numFmtId="206" fontId="77" fillId="0" borderId="0" applyFill="0" applyProtection="0">
      <protection locked="0"/>
    </xf>
    <xf numFmtId="202" fontId="29" fillId="47" borderId="0" applyNumberFormat="0" applyAlignment="0">
      <alignment horizontal="left" vertical="top"/>
    </xf>
    <xf numFmtId="218" fontId="121" fillId="0" borderId="28">
      <alignment horizontal="right" vertical="center"/>
    </xf>
    <xf numFmtId="218" fontId="121" fillId="0" borderId="28">
      <alignment horizontal="right" vertical="center"/>
    </xf>
    <xf numFmtId="219" fontId="5" fillId="0" borderId="28">
      <alignment horizontal="right" vertical="center"/>
    </xf>
    <xf numFmtId="219" fontId="5" fillId="0" borderId="28">
      <alignment horizontal="right" vertical="center"/>
    </xf>
    <xf numFmtId="220" fontId="5" fillId="0" borderId="1">
      <alignment horizontal="right" vertical="center"/>
    </xf>
    <xf numFmtId="220" fontId="5" fillId="0" borderId="1">
      <alignment horizontal="right" vertical="center"/>
    </xf>
    <xf numFmtId="219" fontId="5" fillId="0" borderId="28">
      <alignment horizontal="right" vertical="center"/>
    </xf>
    <xf numFmtId="219" fontId="5" fillId="0" borderId="28">
      <alignment horizontal="right" vertical="center"/>
    </xf>
    <xf numFmtId="0" fontId="19" fillId="0" borderId="12">
      <alignment vertical="top" wrapText="1"/>
    </xf>
    <xf numFmtId="218" fontId="121" fillId="0" borderId="28">
      <alignment horizontal="right" vertical="center"/>
    </xf>
    <xf numFmtId="218" fontId="121" fillId="0" borderId="28">
      <alignment horizontal="right" vertical="center"/>
    </xf>
    <xf numFmtId="0" fontId="122" fillId="0" borderId="0">
      <alignment horizontal="center"/>
    </xf>
    <xf numFmtId="3" fontId="5" fillId="0" borderId="20" applyNumberFormat="0" applyFont="0" applyFill="0" applyAlignment="0" applyProtection="0">
      <alignment vertical="center"/>
    </xf>
    <xf numFmtId="0" fontId="75" fillId="0" borderId="9"/>
    <xf numFmtId="0" fontId="75" fillId="0" borderId="9"/>
    <xf numFmtId="49" fontId="76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221" fontId="123" fillId="0" borderId="28">
      <alignment horizontal="center"/>
    </xf>
    <xf numFmtId="221" fontId="123" fillId="0" borderId="28">
      <alignment horizontal="center"/>
    </xf>
    <xf numFmtId="180" fontId="5" fillId="0" borderId="0" applyFont="0" applyFill="0" applyBorder="0" applyAlignment="0" applyProtection="0"/>
    <xf numFmtId="0" fontId="5" fillId="0" borderId="0"/>
    <xf numFmtId="0" fontId="18" fillId="0" borderId="0"/>
    <xf numFmtId="0" fontId="5" fillId="0" borderId="0"/>
    <xf numFmtId="0" fontId="124" fillId="48" borderId="0"/>
    <xf numFmtId="37" fontId="125" fillId="0" borderId="0" applyFill="0" applyBorder="0" applyAlignment="0" applyProtection="0"/>
    <xf numFmtId="202" fontId="126" fillId="0" borderId="27" applyNumberFormat="0" applyFill="0" applyProtection="0">
      <alignment horizontal="center"/>
    </xf>
    <xf numFmtId="37" fontId="127" fillId="0" borderId="29" applyFill="0" applyAlignment="0" applyProtection="0"/>
    <xf numFmtId="37" fontId="127" fillId="0" borderId="29" applyFill="0" applyAlignment="0" applyProtection="0"/>
    <xf numFmtId="0" fontId="42" fillId="0" borderId="30">
      <protection locked="0"/>
    </xf>
    <xf numFmtId="206" fontId="84" fillId="0" borderId="0"/>
    <xf numFmtId="0" fontId="96" fillId="0" borderId="31"/>
    <xf numFmtId="0" fontId="96" fillId="0" borderId="9"/>
    <xf numFmtId="0" fontId="96" fillId="0" borderId="9"/>
    <xf numFmtId="0" fontId="5" fillId="49" borderId="14" applyNumberFormat="0" applyBorder="0" applyAlignment="0">
      <alignment horizontal="center"/>
    </xf>
    <xf numFmtId="0" fontId="5" fillId="49" borderId="14" applyNumberFormat="0" applyBorder="0" applyAlignment="0">
      <alignment horizontal="center"/>
    </xf>
    <xf numFmtId="166" fontId="5" fillId="0" borderId="0" applyFont="0" applyFill="0" applyBorder="0" applyAlignment="0" applyProtection="0"/>
    <xf numFmtId="4" fontId="128" fillId="0" borderId="0" applyFont="0" applyFill="0" applyBorder="0" applyAlignment="0" applyProtection="0"/>
    <xf numFmtId="9" fontId="129" fillId="46" borderId="0"/>
    <xf numFmtId="217" fontId="7" fillId="49" borderId="0"/>
    <xf numFmtId="222" fontId="77" fillId="0" borderId="0" applyFill="0">
      <alignment horizontal="center"/>
    </xf>
    <xf numFmtId="206" fontId="77" fillId="0" borderId="0" applyFont="0">
      <alignment horizontal="center"/>
      <protection locked="0"/>
    </xf>
    <xf numFmtId="0" fontId="130" fillId="0" borderId="0"/>
    <xf numFmtId="0" fontId="17" fillId="0" borderId="32">
      <alignment horizontal="left"/>
    </xf>
    <xf numFmtId="223" fontId="5" fillId="0" borderId="0" applyFont="0" applyFill="0" applyBorder="0" applyAlignment="0" applyProtection="0"/>
    <xf numFmtId="170" fontId="128" fillId="0" borderId="0" applyFont="0" applyFill="0" applyBorder="0" applyAlignment="0" applyProtection="0"/>
    <xf numFmtId="224" fontId="131" fillId="0" borderId="0"/>
    <xf numFmtId="225" fontId="131" fillId="0" borderId="9"/>
    <xf numFmtId="225" fontId="131" fillId="0" borderId="9"/>
    <xf numFmtId="226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37" fontId="132" fillId="0" borderId="0" applyFill="0" applyBorder="0" applyAlignment="0" applyProtection="0"/>
    <xf numFmtId="0" fontId="75" fillId="0" borderId="33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28" fontId="5" fillId="0" borderId="0" applyFont="0" applyFill="0" applyBorder="0" applyAlignment="0" applyProtection="0"/>
    <xf numFmtId="0" fontId="133" fillId="0" borderId="0" applyNumberFormat="0" applyFill="0" applyBorder="0" applyAlignment="0" applyProtection="0">
      <alignment vertical="top"/>
      <protection locked="0"/>
    </xf>
    <xf numFmtId="38" fontId="134" fillId="0" borderId="0" applyFont="0" applyFill="0" applyBorder="0" applyAlignment="0" applyProtection="0"/>
    <xf numFmtId="166" fontId="135" fillId="0" borderId="0" applyFont="0" applyFill="0" applyBorder="0" applyAlignment="0" applyProtection="0"/>
    <xf numFmtId="168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8" fontId="135" fillId="0" borderId="0" applyFont="0" applyFill="0" applyBorder="0" applyAlignment="0" applyProtection="0"/>
    <xf numFmtId="0" fontId="135" fillId="0" borderId="0"/>
    <xf numFmtId="40" fontId="136" fillId="0" borderId="0" applyFont="0" applyFill="0" applyBorder="0" applyAlignment="0" applyProtection="0"/>
    <xf numFmtId="38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9" fontId="5" fillId="0" borderId="0" applyFill="0" applyBorder="0" applyAlignment="0" applyProtection="0"/>
    <xf numFmtId="0" fontId="137" fillId="0" borderId="0"/>
    <xf numFmtId="41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182" fontId="138" fillId="0" borderId="0" applyFont="0" applyFill="0" applyBorder="0" applyAlignment="0" applyProtection="0"/>
    <xf numFmtId="184" fontId="138" fillId="0" borderId="0" applyFont="0" applyFill="0" applyBorder="0" applyAlignment="0" applyProtection="0"/>
    <xf numFmtId="0" fontId="139" fillId="0" borderId="0"/>
    <xf numFmtId="0" fontId="135" fillId="0" borderId="0"/>
    <xf numFmtId="166" fontId="135" fillId="0" borderId="0" applyFont="0" applyFill="0" applyBorder="0" applyAlignment="0" applyProtection="0"/>
    <xf numFmtId="168" fontId="135" fillId="0" borderId="0" applyFont="0" applyFill="0" applyBorder="0" applyAlignment="0" applyProtection="0"/>
    <xf numFmtId="0" fontId="140" fillId="0" borderId="0"/>
    <xf numFmtId="43" fontId="5" fillId="0" borderId="0" applyFont="0" applyFill="0" applyBorder="0" applyAlignment="0" applyProtection="0"/>
    <xf numFmtId="38" fontId="141" fillId="0" borderId="0" applyFont="0" applyFill="0" applyBorder="0" applyAlignment="0" applyProtection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142" fillId="0" borderId="0"/>
    <xf numFmtId="182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223" fontId="135" fillId="0" borderId="0" applyFont="0" applyFill="0" applyBorder="0" applyAlignment="0" applyProtection="0"/>
    <xf numFmtId="228" fontId="135" fillId="0" borderId="0" applyFont="0" applyFill="0" applyBorder="0" applyAlignment="0" applyProtection="0"/>
    <xf numFmtId="182" fontId="144" fillId="0" borderId="0" applyFont="0" applyFill="0" applyBorder="0" applyAlignment="0" applyProtection="0"/>
    <xf numFmtId="184" fontId="144" fillId="0" borderId="0" applyFont="0" applyFill="0" applyBorder="0" applyAlignment="0" applyProtection="0"/>
    <xf numFmtId="191" fontId="145" fillId="0" borderId="1">
      <alignment horizontal="center"/>
    </xf>
    <xf numFmtId="0" fontId="146" fillId="0" borderId="1">
      <alignment horizontal="center"/>
    </xf>
    <xf numFmtId="0" fontId="5" fillId="0" borderId="0"/>
    <xf numFmtId="0" fontId="18" fillId="0" borderId="0"/>
    <xf numFmtId="0" fontId="5" fillId="0" borderId="0">
      <protection locked="0"/>
    </xf>
    <xf numFmtId="0" fontId="18" fillId="0" borderId="0"/>
    <xf numFmtId="0" fontId="181" fillId="0" borderId="0"/>
    <xf numFmtId="43" fontId="181" fillId="0" borderId="0" applyFont="0" applyFill="0" applyBorder="0" applyAlignment="0" applyProtection="0"/>
    <xf numFmtId="0" fontId="3" fillId="0" borderId="0"/>
    <xf numFmtId="0" fontId="181" fillId="0" borderId="0"/>
    <xf numFmtId="9" fontId="18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0" fontId="3" fillId="0" borderId="0"/>
    <xf numFmtId="43" fontId="159" fillId="0" borderId="0" applyFont="0" applyFill="0" applyBorder="0" applyAlignment="0" applyProtection="0"/>
    <xf numFmtId="0" fontId="159" fillId="0" borderId="0"/>
    <xf numFmtId="43" fontId="24" fillId="0" borderId="0" applyFont="0" applyFill="0" applyBorder="0" applyAlignment="0" applyProtection="0"/>
    <xf numFmtId="0" fontId="18" fillId="0" borderId="0"/>
    <xf numFmtId="0" fontId="3" fillId="0" borderId="0"/>
    <xf numFmtId="9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1" fillId="0" borderId="0"/>
    <xf numFmtId="43" fontId="181" fillId="0" borderId="0" applyFont="0" applyFill="0" applyBorder="0" applyAlignment="0" applyProtection="0"/>
    <xf numFmtId="0" fontId="181" fillId="0" borderId="0"/>
    <xf numFmtId="9" fontId="181" fillId="0" borderId="0" applyFont="0" applyFill="0" applyBorder="0" applyAlignment="0" applyProtection="0"/>
    <xf numFmtId="0" fontId="181" fillId="0" borderId="0"/>
    <xf numFmtId="43" fontId="181" fillId="0" borderId="0" applyFont="0" applyFill="0" applyBorder="0" applyAlignment="0" applyProtection="0"/>
    <xf numFmtId="0" fontId="181" fillId="0" borderId="0"/>
    <xf numFmtId="9" fontId="181" fillId="0" borderId="0" applyFont="0" applyFill="0" applyBorder="0" applyAlignment="0" applyProtection="0"/>
    <xf numFmtId="43" fontId="181" fillId="0" borderId="0" applyFont="0" applyFill="0" applyBorder="0" applyAlignment="0" applyProtection="0"/>
    <xf numFmtId="9" fontId="181" fillId="0" borderId="0" applyFont="0" applyFill="0" applyBorder="0" applyAlignment="0" applyProtection="0"/>
    <xf numFmtId="0" fontId="181" fillId="0" borderId="0"/>
    <xf numFmtId="0" fontId="155" fillId="0" borderId="0"/>
    <xf numFmtId="43" fontId="155" fillId="0" borderId="0" applyFon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128" fillId="0" borderId="0"/>
  </cellStyleXfs>
  <cellXfs count="1956">
    <xf numFmtId="0" fontId="0" fillId="0" borderId="0" xfId="0"/>
    <xf numFmtId="0" fontId="149" fillId="0" borderId="0" xfId="1621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1468" applyFont="1" applyFill="1" applyAlignment="1">
      <alignment vertical="center"/>
    </xf>
    <xf numFmtId="0" fontId="13" fillId="0" borderId="0" xfId="0" applyFont="1" applyFill="1"/>
    <xf numFmtId="174" fontId="13" fillId="0" borderId="0" xfId="803" applyNumberFormat="1" applyFont="1" applyFill="1" applyBorder="1" applyAlignment="1">
      <alignment horizontal="center" vertical="center"/>
    </xf>
    <xf numFmtId="10" fontId="153" fillId="0" borderId="35" xfId="1643" applyNumberFormat="1" applyFont="1" applyFill="1" applyBorder="1" applyAlignment="1">
      <alignment vertical="center"/>
    </xf>
    <xf numFmtId="0" fontId="8" fillId="0" borderId="0" xfId="0" applyFont="1"/>
    <xf numFmtId="0" fontId="0" fillId="0" borderId="0" xfId="0" applyBorder="1"/>
    <xf numFmtId="0" fontId="18" fillId="0" borderId="0" xfId="0" applyFont="1"/>
    <xf numFmtId="43" fontId="0" fillId="0" borderId="0" xfId="786" applyFont="1"/>
    <xf numFmtId="0" fontId="0" fillId="0" borderId="0" xfId="0"/>
    <xf numFmtId="0" fontId="164" fillId="0" borderId="0" xfId="0" applyFont="1" applyFill="1" applyAlignment="1">
      <alignment horizontal="left" vertical="center"/>
    </xf>
    <xf numFmtId="0" fontId="165" fillId="0" borderId="0" xfId="0" applyFont="1" applyFill="1" applyAlignment="1">
      <alignment vertical="center"/>
    </xf>
    <xf numFmtId="0" fontId="160" fillId="0" borderId="0" xfId="0" applyFont="1" applyFill="1" applyBorder="1"/>
    <xf numFmtId="0" fontId="160" fillId="0" borderId="0" xfId="0" applyFont="1" applyFill="1" applyBorder="1" applyAlignment="1">
      <alignment horizontal="center"/>
    </xf>
    <xf numFmtId="0" fontId="160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171" fillId="0" borderId="0" xfId="0" applyFont="1" applyFill="1" applyAlignment="1">
      <alignment vertical="center"/>
    </xf>
    <xf numFmtId="0" fontId="167" fillId="0" borderId="88" xfId="1621" applyFont="1" applyFill="1" applyBorder="1" applyAlignment="1" applyProtection="1">
      <alignment horizontal="center" vertical="center" wrapText="1"/>
    </xf>
    <xf numFmtId="0" fontId="167" fillId="0" borderId="97" xfId="1621" applyFont="1" applyFill="1" applyBorder="1" applyAlignment="1" applyProtection="1">
      <alignment horizontal="center" vertical="center" wrapText="1"/>
    </xf>
    <xf numFmtId="0" fontId="160" fillId="0" borderId="102" xfId="1621" applyFont="1" applyFill="1" applyBorder="1" applyAlignment="1" applyProtection="1">
      <alignment horizontal="center"/>
    </xf>
    <xf numFmtId="43" fontId="172" fillId="55" borderId="82" xfId="1101" applyFont="1" applyFill="1" applyBorder="1" applyAlignment="1">
      <alignment horizontal="center" vertical="center" wrapText="1"/>
    </xf>
    <xf numFmtId="0" fontId="151" fillId="54" borderId="118" xfId="0" applyFont="1" applyFill="1" applyBorder="1" applyAlignment="1">
      <alignment horizontal="center" vertical="center"/>
    </xf>
    <xf numFmtId="0" fontId="151" fillId="54" borderId="119" xfId="0" applyFont="1" applyFill="1" applyBorder="1" applyAlignment="1">
      <alignment horizontal="center" vertical="center"/>
    </xf>
    <xf numFmtId="0" fontId="151" fillId="54" borderId="119" xfId="803" applyNumberFormat="1" applyFont="1" applyFill="1" applyBorder="1" applyAlignment="1">
      <alignment horizontal="center" vertical="center"/>
    </xf>
    <xf numFmtId="0" fontId="14" fillId="54" borderId="116" xfId="0" applyFont="1" applyFill="1" applyBorder="1" applyAlignment="1">
      <alignment horizontal="center" vertical="center"/>
    </xf>
    <xf numFmtId="0" fontId="14" fillId="54" borderId="117" xfId="0" applyFont="1" applyFill="1" applyBorder="1" applyAlignment="1">
      <alignment horizontal="center" vertical="center"/>
    </xf>
    <xf numFmtId="174" fontId="14" fillId="54" borderId="117" xfId="803" applyNumberFormat="1" applyFont="1" applyFill="1" applyBorder="1" applyAlignment="1">
      <alignment horizontal="center" vertical="center" wrapText="1"/>
    </xf>
    <xf numFmtId="0" fontId="166" fillId="55" borderId="101" xfId="1621" applyFont="1" applyFill="1" applyBorder="1" applyAlignment="1" applyProtection="1">
      <alignment horizontal="center" vertical="center" wrapText="1"/>
    </xf>
    <xf numFmtId="174" fontId="13" fillId="0" borderId="106" xfId="803" applyNumberFormat="1" applyFont="1" applyFill="1" applyBorder="1" applyAlignment="1">
      <alignment vertical="center"/>
    </xf>
    <xf numFmtId="0" fontId="0" fillId="0" borderId="110" xfId="0" applyBorder="1"/>
    <xf numFmtId="0" fontId="0" fillId="0" borderId="85" xfId="0" applyBorder="1"/>
    <xf numFmtId="0" fontId="0" fillId="0" borderId="0" xfId="0"/>
    <xf numFmtId="0" fontId="0" fillId="0" borderId="0" xfId="0"/>
    <xf numFmtId="0" fontId="0" fillId="0" borderId="0" xfId="0"/>
    <xf numFmtId="43" fontId="159" fillId="55" borderId="82" xfId="786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74" fillId="0" borderId="0" xfId="0" applyFont="1" applyAlignment="1">
      <alignment vertical="center"/>
    </xf>
    <xf numFmtId="0" fontId="0" fillId="0" borderId="0" xfId="0"/>
    <xf numFmtId="0" fontId="160" fillId="0" borderId="174" xfId="1621" applyFont="1" applyFill="1" applyBorder="1" applyAlignment="1" applyProtection="1">
      <alignment horizontal="center"/>
    </xf>
    <xf numFmtId="0" fontId="0" fillId="0" borderId="0" xfId="0"/>
    <xf numFmtId="43" fontId="18" fillId="0" borderId="0" xfId="786" applyFont="1"/>
    <xf numFmtId="0" fontId="0" fillId="0" borderId="0" xfId="0"/>
    <xf numFmtId="0" fontId="0" fillId="0" borderId="0" xfId="0"/>
    <xf numFmtId="0" fontId="0" fillId="0" borderId="0" xfId="0"/>
    <xf numFmtId="43" fontId="173" fillId="0" borderId="78" xfId="786" applyFont="1" applyBorder="1" applyAlignment="1">
      <alignment horizontal="center" vertical="center"/>
    </xf>
    <xf numFmtId="0" fontId="13" fillId="51" borderId="0" xfId="0" applyFont="1" applyFill="1" applyAlignment="1">
      <alignment vertical="center"/>
    </xf>
    <xf numFmtId="0" fontId="171" fillId="51" borderId="0" xfId="0" applyFont="1" applyFill="1" applyAlignment="1">
      <alignment vertical="center"/>
    </xf>
    <xf numFmtId="0" fontId="165" fillId="51" borderId="0" xfId="0" applyFont="1" applyFill="1" applyAlignment="1">
      <alignment vertical="center"/>
    </xf>
    <xf numFmtId="0" fontId="0" fillId="0" borderId="0" xfId="0"/>
    <xf numFmtId="0" fontId="18" fillId="0" borderId="0" xfId="1462"/>
    <xf numFmtId="0" fontId="6" fillId="0" borderId="0" xfId="1817" applyFont="1" applyAlignment="1" applyProtection="1">
      <alignment vertical="center"/>
    </xf>
    <xf numFmtId="0" fontId="5" fillId="0" borderId="0" xfId="1818" applyFont="1"/>
    <xf numFmtId="0" fontId="6" fillId="0" borderId="0" xfId="1818" applyFont="1" applyAlignment="1">
      <alignment horizontal="center" vertical="center"/>
    </xf>
    <xf numFmtId="42" fontId="6" fillId="0" borderId="0" xfId="1818" applyNumberFormat="1" applyFont="1" applyAlignment="1">
      <alignment vertical="center"/>
    </xf>
    <xf numFmtId="0" fontId="18" fillId="0" borderId="0" xfId="1818"/>
    <xf numFmtId="232" fontId="6" fillId="0" borderId="0" xfId="888" applyNumberFormat="1" applyFont="1" applyAlignment="1">
      <alignment vertical="center"/>
    </xf>
    <xf numFmtId="232" fontId="5" fillId="0" borderId="0" xfId="888" applyNumberFormat="1" applyFont="1" applyAlignment="1">
      <alignment vertical="center"/>
    </xf>
    <xf numFmtId="0" fontId="154" fillId="0" borderId="196" xfId="1462" applyFont="1" applyBorder="1" applyAlignment="1">
      <alignment vertical="center"/>
    </xf>
    <xf numFmtId="0" fontId="154" fillId="0" borderId="197" xfId="1462" applyFont="1" applyBorder="1" applyAlignment="1">
      <alignment horizontal="center" vertical="center"/>
    </xf>
    <xf numFmtId="0" fontId="154" fillId="0" borderId="199" xfId="1462" applyFont="1" applyBorder="1" applyAlignment="1">
      <alignment horizontal="center" vertical="center"/>
    </xf>
    <xf numFmtId="0" fontId="154" fillId="0" borderId="200" xfId="1462" applyFont="1" applyBorder="1" applyAlignment="1">
      <alignment horizontal="center" vertical="center"/>
    </xf>
    <xf numFmtId="0" fontId="154" fillId="0" borderId="201" xfId="1462" applyFont="1" applyBorder="1" applyAlignment="1">
      <alignment horizontal="center" vertical="center"/>
    </xf>
    <xf numFmtId="0" fontId="154" fillId="0" borderId="106" xfId="1462" applyFont="1" applyBorder="1" applyAlignment="1">
      <alignment horizontal="center" vertical="center"/>
    </xf>
    <xf numFmtId="0" fontId="154" fillId="0" borderId="188" xfId="1462" applyFont="1" applyBorder="1" applyAlignment="1">
      <alignment horizontal="center" vertical="center"/>
    </xf>
    <xf numFmtId="0" fontId="18" fillId="0" borderId="204" xfId="1462" applyFont="1" applyBorder="1" applyAlignment="1"/>
    <xf numFmtId="0" fontId="18" fillId="0" borderId="205" xfId="1462" applyFont="1" applyBorder="1" applyAlignment="1">
      <alignment horizontal="center"/>
    </xf>
    <xf numFmtId="0" fontId="18" fillId="0" borderId="203" xfId="1462" applyFont="1" applyBorder="1" applyAlignment="1">
      <alignment horizontal="center"/>
    </xf>
    <xf numFmtId="174" fontId="0" fillId="0" borderId="203" xfId="818" applyNumberFormat="1" applyFont="1" applyBorder="1"/>
    <xf numFmtId="232" fontId="18" fillId="0" borderId="203" xfId="1462" applyNumberFormat="1" applyFont="1" applyBorder="1" applyAlignment="1">
      <alignment horizontal="center"/>
    </xf>
    <xf numFmtId="0" fontId="18" fillId="0" borderId="206" xfId="1462" applyFont="1" applyBorder="1" applyAlignment="1">
      <alignment horizontal="center"/>
    </xf>
    <xf numFmtId="0" fontId="18" fillId="0" borderId="202" xfId="1462" applyBorder="1" applyAlignment="1">
      <alignment horizontal="center"/>
    </xf>
    <xf numFmtId="0" fontId="18" fillId="0" borderId="203" xfId="1462" applyFont="1" applyBorder="1"/>
    <xf numFmtId="0" fontId="18" fillId="0" borderId="202" xfId="1462" applyFont="1" applyBorder="1" applyAlignment="1">
      <alignment horizontal="center"/>
    </xf>
    <xf numFmtId="232" fontId="154" fillId="0" borderId="203" xfId="1462" applyNumberFormat="1" applyFont="1" applyBorder="1" applyAlignment="1">
      <alignment horizontal="center"/>
    </xf>
    <xf numFmtId="0" fontId="18" fillId="0" borderId="203" xfId="1462" applyFont="1" applyBorder="1" applyAlignment="1"/>
    <xf numFmtId="0" fontId="18" fillId="0" borderId="207" xfId="1462" applyFont="1" applyBorder="1" applyAlignment="1">
      <alignment horizontal="center"/>
    </xf>
    <xf numFmtId="0" fontId="18" fillId="0" borderId="208" xfId="1462" applyFont="1" applyBorder="1" applyAlignment="1">
      <alignment horizontal="center"/>
    </xf>
    <xf numFmtId="174" fontId="0" fillId="0" borderId="207" xfId="818" applyNumberFormat="1" applyFont="1" applyBorder="1"/>
    <xf numFmtId="232" fontId="18" fillId="0" borderId="207" xfId="1462" applyNumberFormat="1" applyFont="1" applyBorder="1" applyAlignment="1">
      <alignment horizontal="center"/>
    </xf>
    <xf numFmtId="0" fontId="18" fillId="0" borderId="209" xfId="1462" applyFont="1" applyBorder="1" applyAlignment="1">
      <alignment horizontal="center"/>
    </xf>
    <xf numFmtId="0" fontId="18" fillId="0" borderId="210" xfId="1462" applyFont="1" applyBorder="1" applyAlignment="1">
      <alignment horizontal="center"/>
    </xf>
    <xf numFmtId="0" fontId="18" fillId="0" borderId="211" xfId="1462" applyFont="1" applyBorder="1"/>
    <xf numFmtId="232" fontId="18" fillId="0" borderId="211" xfId="1462" applyNumberFormat="1" applyFont="1" applyBorder="1" applyAlignment="1">
      <alignment horizontal="center"/>
    </xf>
    <xf numFmtId="0" fontId="18" fillId="0" borderId="211" xfId="1462" applyFont="1" applyBorder="1" applyAlignment="1">
      <alignment horizontal="center"/>
    </xf>
    <xf numFmtId="0" fontId="18" fillId="0" borderId="212" xfId="1462" applyFont="1" applyBorder="1" applyAlignment="1">
      <alignment horizontal="center"/>
    </xf>
    <xf numFmtId="174" fontId="0" fillId="0" borderId="211" xfId="818" applyNumberFormat="1" applyFont="1" applyBorder="1"/>
    <xf numFmtId="0" fontId="18" fillId="0" borderId="213" xfId="1462" applyFont="1" applyBorder="1" applyAlignment="1">
      <alignment horizontal="center"/>
    </xf>
    <xf numFmtId="0" fontId="0" fillId="0" borderId="0" xfId="0"/>
    <xf numFmtId="43" fontId="0" fillId="0" borderId="0" xfId="0" applyNumberFormat="1"/>
    <xf numFmtId="43" fontId="162" fillId="51" borderId="0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1" borderId="0" xfId="1468" applyFont="1" applyFill="1" applyAlignment="1">
      <alignment vertical="center"/>
    </xf>
    <xf numFmtId="0" fontId="0" fillId="0" borderId="0" xfId="0"/>
    <xf numFmtId="0" fontId="171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43" fontId="174" fillId="0" borderId="0" xfId="0" applyNumberFormat="1" applyFont="1" applyAlignment="1">
      <alignment vertical="center"/>
    </xf>
    <xf numFmtId="0" fontId="185" fillId="0" borderId="0" xfId="0" applyFont="1" applyFill="1" applyAlignment="1">
      <alignment horizontal="center" vertical="center"/>
    </xf>
    <xf numFmtId="43" fontId="174" fillId="0" borderId="0" xfId="1036" applyFont="1" applyAlignment="1" applyProtection="1">
      <alignment vertical="center"/>
    </xf>
    <xf numFmtId="0" fontId="163" fillId="0" borderId="0" xfId="0" applyFont="1" applyFill="1"/>
    <xf numFmtId="43" fontId="178" fillId="53" borderId="115" xfId="1036" applyFont="1" applyFill="1" applyBorder="1"/>
    <xf numFmtId="0" fontId="0" fillId="0" borderId="0" xfId="0"/>
    <xf numFmtId="0" fontId="160" fillId="0" borderId="239" xfId="0" applyFont="1" applyFill="1" applyBorder="1" applyAlignment="1">
      <alignment horizontal="center" vertical="center"/>
    </xf>
    <xf numFmtId="0" fontId="179" fillId="0" borderId="88" xfId="1621" applyFont="1" applyFill="1" applyBorder="1" applyAlignment="1">
      <alignment horizontal="center"/>
    </xf>
    <xf numFmtId="0" fontId="179" fillId="0" borderId="64" xfId="1815" applyFont="1" applyFill="1" applyBorder="1"/>
    <xf numFmtId="0" fontId="179" fillId="0" borderId="64" xfId="1815" applyFont="1" applyFill="1" applyBorder="1" applyAlignment="1">
      <alignment horizontal="center"/>
    </xf>
    <xf numFmtId="0" fontId="179" fillId="0" borderId="218" xfId="1815" applyFont="1" applyFill="1" applyBorder="1" applyAlignment="1">
      <alignment horizontal="center"/>
    </xf>
    <xf numFmtId="0" fontId="160" fillId="0" borderId="214" xfId="1621" applyFont="1" applyFill="1" applyBorder="1" applyAlignment="1" applyProtection="1">
      <alignment horizontal="center"/>
    </xf>
    <xf numFmtId="0" fontId="159" fillId="0" borderId="0" xfId="0" applyFont="1" applyFill="1" applyAlignment="1">
      <alignment horizontal="center"/>
    </xf>
    <xf numFmtId="0" fontId="170" fillId="0" borderId="0" xfId="0" applyFont="1" applyFill="1" applyAlignment="1">
      <alignment horizontal="center"/>
    </xf>
    <xf numFmtId="0" fontId="191" fillId="0" borderId="0" xfId="0" applyFont="1" applyFill="1" applyAlignment="1">
      <alignment horizontal="center"/>
    </xf>
    <xf numFmtId="0" fontId="177" fillId="0" borderId="218" xfId="0" applyFont="1" applyFill="1" applyBorder="1"/>
    <xf numFmtId="43" fontId="164" fillId="0" borderId="0" xfId="786" applyFont="1" applyFill="1" applyAlignment="1">
      <alignment horizontal="left" vertical="center"/>
    </xf>
    <xf numFmtId="43" fontId="160" fillId="0" borderId="0" xfId="786" applyFont="1" applyFill="1" applyBorder="1" applyAlignment="1">
      <alignment horizontal="center"/>
    </xf>
    <xf numFmtId="43" fontId="160" fillId="0" borderId="0" xfId="786" applyFont="1" applyFill="1" applyAlignment="1">
      <alignment vertical="center"/>
    </xf>
    <xf numFmtId="43" fontId="165" fillId="0" borderId="0" xfId="786" applyFont="1" applyFill="1" applyAlignment="1">
      <alignment vertical="center"/>
    </xf>
    <xf numFmtId="0" fontId="167" fillId="0" borderId="64" xfId="1621" applyFont="1" applyFill="1" applyBorder="1" applyAlignment="1" applyProtection="1">
      <alignment horizontal="center" vertical="center" wrapText="1"/>
    </xf>
    <xf numFmtId="43" fontId="167" fillId="0" borderId="64" xfId="786" applyFont="1" applyFill="1" applyBorder="1" applyAlignment="1">
      <alignment horizontal="center" vertical="center"/>
    </xf>
    <xf numFmtId="0" fontId="161" fillId="0" borderId="248" xfId="0" applyFont="1" applyFill="1" applyBorder="1" applyAlignment="1">
      <alignment horizontal="center" vertical="center"/>
    </xf>
    <xf numFmtId="0" fontId="160" fillId="0" borderId="249" xfId="0" applyFont="1" applyFill="1" applyBorder="1" applyAlignment="1">
      <alignment horizontal="center" vertical="center"/>
    </xf>
    <xf numFmtId="43" fontId="160" fillId="0" borderId="249" xfId="786" applyFont="1" applyFill="1" applyBorder="1" applyAlignment="1">
      <alignment vertical="center"/>
    </xf>
    <xf numFmtId="0" fontId="160" fillId="0" borderId="250" xfId="0" applyFont="1" applyFill="1" applyBorder="1" applyAlignment="1">
      <alignment horizontal="center" vertical="center"/>
    </xf>
    <xf numFmtId="0" fontId="160" fillId="0" borderId="248" xfId="0" applyFont="1" applyFill="1" applyBorder="1" applyAlignment="1">
      <alignment horizontal="center" vertical="center"/>
    </xf>
    <xf numFmtId="42" fontId="160" fillId="0" borderId="249" xfId="0" applyNumberFormat="1" applyFont="1" applyFill="1" applyBorder="1" applyAlignment="1">
      <alignment horizontal="left" vertical="center"/>
    </xf>
    <xf numFmtId="0" fontId="160" fillId="0" borderId="251" xfId="0" applyFont="1" applyFill="1" applyBorder="1" applyAlignment="1">
      <alignment horizontal="center" vertical="center"/>
    </xf>
    <xf numFmtId="0" fontId="160" fillId="0" borderId="252" xfId="0" applyFont="1" applyFill="1" applyBorder="1" applyAlignment="1">
      <alignment horizontal="center" vertical="center"/>
    </xf>
    <xf numFmtId="0" fontId="160" fillId="0" borderId="253" xfId="0" applyFont="1" applyFill="1" applyBorder="1" applyAlignment="1">
      <alignment horizontal="center" vertical="center"/>
    </xf>
    <xf numFmtId="43" fontId="177" fillId="0" borderId="243" xfId="1001" applyFont="1" applyFill="1" applyBorder="1" applyAlignment="1" applyProtection="1">
      <alignment horizontal="center" vertical="center"/>
    </xf>
    <xf numFmtId="0" fontId="160" fillId="0" borderId="254" xfId="0" applyFont="1" applyFill="1" applyBorder="1" applyAlignment="1">
      <alignment horizontal="center" vertical="center"/>
    </xf>
    <xf numFmtId="0" fontId="160" fillId="0" borderId="239" xfId="1621" applyFont="1" applyFill="1" applyBorder="1"/>
    <xf numFmtId="41" fontId="161" fillId="0" borderId="249" xfId="803" applyFont="1" applyFill="1" applyBorder="1" applyProtection="1"/>
    <xf numFmtId="0" fontId="160" fillId="0" borderId="249" xfId="1621" applyFont="1" applyFill="1" applyBorder="1" applyAlignment="1" applyProtection="1">
      <alignment horizontal="center"/>
    </xf>
    <xf numFmtId="0" fontId="160" fillId="0" borderId="254" xfId="1621" applyFont="1" applyFill="1" applyBorder="1" applyAlignment="1" applyProtection="1">
      <alignment horizontal="center"/>
    </xf>
    <xf numFmtId="0" fontId="160" fillId="0" borderId="239" xfId="1621" applyFont="1" applyFill="1" applyBorder="1" applyAlignment="1" applyProtection="1">
      <alignment horizontal="center"/>
    </xf>
    <xf numFmtId="0" fontId="162" fillId="0" borderId="228" xfId="0" applyFont="1" applyFill="1" applyBorder="1" applyAlignment="1">
      <alignment horizontal="left" vertical="center"/>
    </xf>
    <xf numFmtId="0" fontId="160" fillId="0" borderId="228" xfId="0" applyFont="1" applyFill="1" applyBorder="1" applyAlignment="1">
      <alignment horizontal="center" vertical="center"/>
    </xf>
    <xf numFmtId="0" fontId="160" fillId="0" borderId="249" xfId="0" applyFont="1" applyFill="1" applyBorder="1" applyAlignment="1">
      <alignment horizontal="left" vertical="center"/>
    </xf>
    <xf numFmtId="42" fontId="160" fillId="0" borderId="249" xfId="0" applyNumberFormat="1" applyFont="1" applyFill="1" applyBorder="1" applyAlignment="1">
      <alignment vertical="center"/>
    </xf>
    <xf numFmtId="0" fontId="160" fillId="0" borderId="249" xfId="0" applyFont="1" applyFill="1" applyBorder="1" applyAlignment="1">
      <alignment horizontal="center"/>
    </xf>
    <xf numFmtId="0" fontId="160" fillId="0" borderId="254" xfId="0" applyFont="1" applyFill="1" applyBorder="1" applyAlignment="1">
      <alignment horizontal="center"/>
    </xf>
    <xf numFmtId="41" fontId="160" fillId="0" borderId="249" xfId="803" applyFont="1" applyFill="1" applyBorder="1" applyProtection="1"/>
    <xf numFmtId="4" fontId="162" fillId="0" borderId="255" xfId="0" applyNumberFormat="1" applyFont="1" applyFill="1" applyBorder="1" applyAlignment="1">
      <alignment vertical="center" wrapText="1"/>
    </xf>
    <xf numFmtId="4" fontId="162" fillId="0" borderId="255" xfId="0" applyNumberFormat="1" applyFont="1" applyFill="1" applyBorder="1" applyAlignment="1">
      <alignment vertical="top" wrapText="1"/>
    </xf>
    <xf numFmtId="0" fontId="169" fillId="0" borderId="218" xfId="1815" applyFont="1" applyFill="1" applyBorder="1" applyProtection="1"/>
    <xf numFmtId="0" fontId="169" fillId="0" borderId="218" xfId="1815" applyFont="1" applyFill="1" applyBorder="1" applyAlignment="1" applyProtection="1">
      <alignment horizontal="center"/>
    </xf>
    <xf numFmtId="41" fontId="160" fillId="0" borderId="249" xfId="803" applyFont="1" applyFill="1" applyBorder="1"/>
    <xf numFmtId="0" fontId="179" fillId="0" borderId="256" xfId="1815" applyFont="1" applyFill="1" applyBorder="1"/>
    <xf numFmtId="0" fontId="179" fillId="0" borderId="256" xfId="1815" applyFont="1" applyFill="1" applyBorder="1" applyAlignment="1">
      <alignment horizontal="center"/>
    </xf>
    <xf numFmtId="231" fontId="179" fillId="0" borderId="257" xfId="1553" applyNumberFormat="1" applyFont="1" applyFill="1" applyBorder="1"/>
    <xf numFmtId="41" fontId="161" fillId="0" borderId="249" xfId="803" applyFont="1" applyFill="1" applyBorder="1" applyAlignment="1" applyProtection="1"/>
    <xf numFmtId="0" fontId="161" fillId="0" borderId="249" xfId="1621" applyFont="1" applyFill="1" applyBorder="1" applyAlignment="1" applyProtection="1">
      <alignment horizontal="center"/>
    </xf>
    <xf numFmtId="0" fontId="161" fillId="0" borderId="254" xfId="1621" applyFont="1" applyFill="1" applyBorder="1" applyAlignment="1" applyProtection="1">
      <alignment horizontal="center"/>
    </xf>
    <xf numFmtId="0" fontId="160" fillId="0" borderId="249" xfId="1621" applyFont="1" applyFill="1" applyBorder="1" applyAlignment="1">
      <alignment horizontal="center"/>
    </xf>
    <xf numFmtId="0" fontId="160" fillId="0" borderId="254" xfId="1621" applyFont="1" applyFill="1" applyBorder="1" applyAlignment="1">
      <alignment horizontal="center"/>
    </xf>
    <xf numFmtId="0" fontId="160" fillId="0" borderId="258" xfId="1621" applyFont="1" applyFill="1" applyBorder="1" applyAlignment="1" applyProtection="1">
      <alignment horizontal="center"/>
    </xf>
    <xf numFmtId="231" fontId="179" fillId="0" borderId="238" xfId="1824" applyNumberFormat="1" applyFont="1" applyFill="1" applyBorder="1"/>
    <xf numFmtId="41" fontId="160" fillId="0" borderId="259" xfId="803" applyFont="1" applyFill="1" applyBorder="1" applyProtection="1"/>
    <xf numFmtId="0" fontId="160" fillId="0" borderId="259" xfId="1621" quotePrefix="1" applyFont="1" applyFill="1" applyBorder="1" applyAlignment="1" applyProtection="1">
      <alignment horizontal="center"/>
    </xf>
    <xf numFmtId="0" fontId="160" fillId="0" borderId="260" xfId="1621" quotePrefix="1" applyFont="1" applyFill="1" applyBorder="1" applyAlignment="1" applyProtection="1">
      <alignment horizontal="center"/>
    </xf>
    <xf numFmtId="0" fontId="160" fillId="0" borderId="259" xfId="1621" applyFont="1" applyFill="1" applyBorder="1" applyAlignment="1" applyProtection="1">
      <alignment horizontal="center"/>
    </xf>
    <xf numFmtId="0" fontId="160" fillId="0" borderId="260" xfId="1621" applyFont="1" applyFill="1" applyBorder="1" applyAlignment="1" applyProtection="1">
      <alignment horizontal="center"/>
    </xf>
    <xf numFmtId="41" fontId="161" fillId="0" borderId="259" xfId="803" applyFont="1" applyFill="1" applyBorder="1" applyProtection="1"/>
    <xf numFmtId="41" fontId="160" fillId="0" borderId="259" xfId="803" applyFont="1" applyFill="1" applyBorder="1"/>
    <xf numFmtId="0" fontId="160" fillId="0" borderId="259" xfId="1621" applyFont="1" applyFill="1" applyBorder="1" applyAlignment="1">
      <alignment horizontal="center"/>
    </xf>
    <xf numFmtId="0" fontId="160" fillId="0" borderId="260" xfId="1621" applyFont="1" applyFill="1" applyBorder="1" applyAlignment="1">
      <alignment horizontal="center"/>
    </xf>
    <xf numFmtId="0" fontId="179" fillId="0" borderId="205" xfId="1621" applyFont="1" applyFill="1" applyBorder="1"/>
    <xf numFmtId="0" fontId="179" fillId="0" borderId="205" xfId="1621" applyFont="1" applyFill="1" applyBorder="1" applyAlignment="1">
      <alignment horizontal="center"/>
    </xf>
    <xf numFmtId="231" fontId="179" fillId="0" borderId="193" xfId="1553" applyNumberFormat="1" applyFont="1" applyFill="1" applyBorder="1"/>
    <xf numFmtId="41" fontId="160" fillId="0" borderId="175" xfId="803" applyFont="1" applyFill="1" applyBorder="1"/>
    <xf numFmtId="0" fontId="160" fillId="0" borderId="175" xfId="1621" applyFont="1" applyFill="1" applyBorder="1" applyAlignment="1">
      <alignment horizontal="center"/>
    </xf>
    <xf numFmtId="0" fontId="160" fillId="0" borderId="261" xfId="1621" applyFont="1" applyFill="1" applyBorder="1" applyAlignment="1">
      <alignment horizontal="center"/>
    </xf>
    <xf numFmtId="43" fontId="179" fillId="0" borderId="163" xfId="786" applyFont="1" applyFill="1" applyBorder="1"/>
    <xf numFmtId="43" fontId="179" fillId="0" borderId="163" xfId="786" applyFont="1" applyFill="1" applyBorder="1" applyAlignment="1">
      <alignment horizontal="center"/>
    </xf>
    <xf numFmtId="43" fontId="179" fillId="0" borderId="193" xfId="786" applyFont="1" applyFill="1" applyBorder="1"/>
    <xf numFmtId="0" fontId="160" fillId="0" borderId="262" xfId="1621" applyFont="1" applyFill="1" applyBorder="1" applyAlignment="1" applyProtection="1">
      <alignment horizontal="center"/>
    </xf>
    <xf numFmtId="41" fontId="160" fillId="0" borderId="263" xfId="803" applyFont="1" applyFill="1" applyBorder="1"/>
    <xf numFmtId="0" fontId="160" fillId="0" borderId="263" xfId="1621" applyFont="1" applyFill="1" applyBorder="1" applyAlignment="1">
      <alignment horizontal="center"/>
    </xf>
    <xf numFmtId="0" fontId="160" fillId="0" borderId="264" xfId="1621" applyFont="1" applyFill="1" applyBorder="1" applyAlignment="1">
      <alignment horizontal="center"/>
    </xf>
    <xf numFmtId="0" fontId="179" fillId="0" borderId="265" xfId="1815" applyFont="1" applyFill="1" applyBorder="1"/>
    <xf numFmtId="0" fontId="179" fillId="0" borderId="265" xfId="1815" applyFont="1" applyFill="1" applyBorder="1" applyAlignment="1">
      <alignment horizontal="center"/>
    </xf>
    <xf numFmtId="231" fontId="179" fillId="0" borderId="97" xfId="1553" applyNumberFormat="1" applyFont="1" applyFill="1" applyBorder="1"/>
    <xf numFmtId="0" fontId="160" fillId="0" borderId="264" xfId="1621" applyFont="1" applyFill="1" applyBorder="1" applyAlignment="1" applyProtection="1">
      <alignment horizontal="center"/>
    </xf>
    <xf numFmtId="0" fontId="160" fillId="0" borderId="259" xfId="0" applyFont="1" applyFill="1" applyBorder="1" applyAlignment="1">
      <alignment horizontal="center" vertical="center"/>
    </xf>
    <xf numFmtId="0" fontId="160" fillId="0" borderId="264" xfId="0" applyFont="1" applyFill="1" applyBorder="1" applyAlignment="1">
      <alignment horizontal="center" vertical="center"/>
    </xf>
    <xf numFmtId="0" fontId="160" fillId="0" borderId="259" xfId="0" applyFont="1" applyFill="1" applyBorder="1"/>
    <xf numFmtId="0" fontId="160" fillId="0" borderId="259" xfId="0" applyFont="1" applyFill="1" applyBorder="1" applyAlignment="1">
      <alignment horizontal="center"/>
    </xf>
    <xf numFmtId="0" fontId="160" fillId="0" borderId="264" xfId="0" applyFont="1" applyFill="1" applyBorder="1" applyAlignment="1">
      <alignment horizontal="center"/>
    </xf>
    <xf numFmtId="0" fontId="160" fillId="0" borderId="262" xfId="0" applyFont="1" applyFill="1" applyBorder="1"/>
    <xf numFmtId="0" fontId="160" fillId="0" borderId="262" xfId="1621" applyFont="1" applyFill="1" applyBorder="1" applyProtection="1"/>
    <xf numFmtId="41" fontId="168" fillId="0" borderId="259" xfId="803" applyFont="1" applyFill="1" applyBorder="1" applyProtection="1"/>
    <xf numFmtId="0" fontId="159" fillId="0" borderId="265" xfId="0" applyFont="1" applyFill="1" applyBorder="1" applyAlignment="1">
      <alignment horizontal="left" vertical="center"/>
    </xf>
    <xf numFmtId="0" fontId="163" fillId="0" borderId="259" xfId="0" applyFont="1" applyFill="1" applyBorder="1" applyAlignment="1">
      <alignment horizontal="center"/>
    </xf>
    <xf numFmtId="0" fontId="163" fillId="0" borderId="264" xfId="0" applyFont="1" applyFill="1" applyBorder="1" applyAlignment="1">
      <alignment horizontal="center"/>
    </xf>
    <xf numFmtId="0" fontId="168" fillId="0" borderId="259" xfId="0" applyFont="1" applyFill="1" applyBorder="1"/>
    <xf numFmtId="0" fontId="160" fillId="0" borderId="262" xfId="0" applyFont="1" applyFill="1" applyBorder="1" applyAlignment="1">
      <alignment horizontal="center"/>
    </xf>
    <xf numFmtId="0" fontId="179" fillId="0" borderId="266" xfId="1621" applyFont="1" applyFill="1" applyBorder="1" applyAlignment="1">
      <alignment horizontal="center"/>
    </xf>
    <xf numFmtId="0" fontId="161" fillId="0" borderId="259" xfId="0" applyFont="1" applyFill="1" applyBorder="1"/>
    <xf numFmtId="0" fontId="179" fillId="0" borderId="166" xfId="1815" applyFont="1" applyFill="1" applyBorder="1"/>
    <xf numFmtId="0" fontId="179" fillId="0" borderId="166" xfId="1815" applyFont="1" applyFill="1" applyBorder="1" applyAlignment="1">
      <alignment horizontal="center"/>
    </xf>
    <xf numFmtId="0" fontId="177" fillId="0" borderId="265" xfId="1621" applyFont="1" applyFill="1" applyBorder="1"/>
    <xf numFmtId="0" fontId="177" fillId="0" borderId="265" xfId="1621" applyFont="1" applyFill="1" applyBorder="1" applyAlignment="1">
      <alignment horizontal="center"/>
    </xf>
    <xf numFmtId="43" fontId="177" fillId="0" borderId="193" xfId="786" applyFont="1" applyFill="1" applyBorder="1" applyAlignment="1">
      <alignment horizontal="center"/>
    </xf>
    <xf numFmtId="0" fontId="179" fillId="0" borderId="265" xfId="0" applyFont="1" applyFill="1" applyBorder="1" applyAlignment="1">
      <alignment horizontal="left" vertical="center"/>
    </xf>
    <xf numFmtId="0" fontId="163" fillId="0" borderId="262" xfId="0" applyFont="1" applyFill="1" applyBorder="1" applyAlignment="1">
      <alignment horizontal="center"/>
    </xf>
    <xf numFmtId="0" fontId="179" fillId="0" borderId="267" xfId="0" applyFont="1" applyFill="1" applyBorder="1" applyAlignment="1">
      <alignment horizontal="left" vertical="center"/>
    </xf>
    <xf numFmtId="0" fontId="161" fillId="0" borderId="262" xfId="0" applyFont="1" applyFill="1" applyBorder="1" applyAlignment="1">
      <alignment horizontal="center" vertical="center"/>
    </xf>
    <xf numFmtId="42" fontId="161" fillId="0" borderId="259" xfId="0" applyNumberFormat="1" applyFont="1" applyFill="1" applyBorder="1" applyAlignment="1">
      <alignment horizontal="left" vertical="center"/>
    </xf>
    <xf numFmtId="0" fontId="160" fillId="0" borderId="262" xfId="0" applyFont="1" applyFill="1" applyBorder="1" applyAlignment="1">
      <alignment horizontal="center" vertical="center"/>
    </xf>
    <xf numFmtId="42" fontId="160" fillId="0" borderId="268" xfId="0" applyNumberFormat="1" applyFont="1" applyFill="1" applyBorder="1" applyAlignment="1">
      <alignment horizontal="left" vertical="center"/>
    </xf>
    <xf numFmtId="42" fontId="160" fillId="0" borderId="259" xfId="1468" applyNumberFormat="1" applyFont="1" applyFill="1" applyBorder="1" applyAlignment="1">
      <alignment vertical="center" wrapText="1"/>
    </xf>
    <xf numFmtId="42" fontId="161" fillId="0" borderId="259" xfId="1468" applyNumberFormat="1" applyFont="1" applyFill="1" applyBorder="1" applyAlignment="1">
      <alignment vertical="center" wrapText="1"/>
    </xf>
    <xf numFmtId="0" fontId="160" fillId="0" borderId="259" xfId="0" quotePrefix="1" applyFont="1" applyFill="1" applyBorder="1" applyAlignment="1">
      <alignment horizontal="center" vertical="center"/>
    </xf>
    <xf numFmtId="0" fontId="160" fillId="0" borderId="264" xfId="0" quotePrefix="1" applyFont="1" applyFill="1" applyBorder="1" applyAlignment="1">
      <alignment horizontal="center" vertical="center"/>
    </xf>
    <xf numFmtId="42" fontId="168" fillId="0" borderId="259" xfId="1468" applyNumberFormat="1" applyFont="1" applyFill="1" applyBorder="1" applyAlignment="1">
      <alignment vertical="center" wrapText="1"/>
    </xf>
    <xf numFmtId="0" fontId="160" fillId="0" borderId="253" xfId="0" applyFont="1" applyFill="1" applyBorder="1" applyAlignment="1">
      <alignment horizontal="center"/>
    </xf>
    <xf numFmtId="0" fontId="160" fillId="0" borderId="269" xfId="0" applyFont="1" applyFill="1" applyBorder="1" applyAlignment="1">
      <alignment horizontal="center" vertical="center"/>
    </xf>
    <xf numFmtId="42" fontId="160" fillId="0" borderId="270" xfId="1468" applyNumberFormat="1" applyFont="1" applyFill="1" applyBorder="1" applyAlignment="1">
      <alignment vertical="center" wrapText="1"/>
    </xf>
    <xf numFmtId="43" fontId="160" fillId="0" borderId="270" xfId="786" applyFont="1" applyFill="1" applyBorder="1" applyAlignment="1">
      <alignment vertical="center"/>
    </xf>
    <xf numFmtId="0" fontId="160" fillId="0" borderId="271" xfId="0" quotePrefix="1" applyFont="1" applyFill="1" applyBorder="1" applyAlignment="1">
      <alignment horizontal="center" vertical="center"/>
    </xf>
    <xf numFmtId="0" fontId="18" fillId="0" borderId="0" xfId="0" quotePrefix="1" applyFont="1"/>
    <xf numFmtId="0" fontId="160" fillId="0" borderId="281" xfId="0" applyFont="1" applyFill="1" applyBorder="1"/>
    <xf numFmtId="0" fontId="160" fillId="0" borderId="281" xfId="0" applyFont="1" applyFill="1" applyBorder="1" applyAlignment="1">
      <alignment horizontal="center"/>
    </xf>
    <xf numFmtId="0" fontId="160" fillId="0" borderId="282" xfId="0" applyFont="1" applyFill="1" applyBorder="1" applyAlignment="1">
      <alignment horizontal="center"/>
    </xf>
    <xf numFmtId="0" fontId="160" fillId="0" borderId="319" xfId="1621" quotePrefix="1" applyFont="1" applyFill="1" applyBorder="1" applyAlignment="1" applyProtection="1">
      <alignment horizontal="center"/>
    </xf>
    <xf numFmtId="0" fontId="160" fillId="0" borderId="311" xfId="1621" quotePrefix="1" applyFont="1" applyFill="1" applyBorder="1" applyAlignment="1" applyProtection="1">
      <alignment horizontal="center"/>
    </xf>
    <xf numFmtId="41" fontId="160" fillId="0" borderId="320" xfId="803" applyFont="1" applyFill="1" applyBorder="1" applyProtection="1"/>
    <xf numFmtId="0" fontId="160" fillId="0" borderId="320" xfId="1621" quotePrefix="1" applyFont="1" applyFill="1" applyBorder="1" applyAlignment="1" applyProtection="1">
      <alignment horizontal="center"/>
    </xf>
    <xf numFmtId="0" fontId="160" fillId="0" borderId="321" xfId="1621" quotePrefix="1" applyFont="1" applyFill="1" applyBorder="1" applyAlignment="1" applyProtection="1">
      <alignment horizontal="center"/>
    </xf>
    <xf numFmtId="0" fontId="160" fillId="0" borderId="97" xfId="1621" quotePrefix="1" applyFont="1" applyFill="1" applyBorder="1" applyAlignment="1" applyProtection="1">
      <alignment horizontal="center"/>
    </xf>
    <xf numFmtId="0" fontId="160" fillId="0" borderId="258" xfId="1621" quotePrefix="1" applyFont="1" applyFill="1" applyBorder="1" applyAlignment="1" applyProtection="1">
      <alignment horizontal="center"/>
    </xf>
    <xf numFmtId="0" fontId="160" fillId="0" borderId="316" xfId="0" applyFont="1" applyFill="1" applyBorder="1" applyAlignment="1">
      <alignment horizontal="center" vertical="center"/>
    </xf>
    <xf numFmtId="42" fontId="160" fillId="0" borderId="317" xfId="1468" applyNumberFormat="1" applyFont="1" applyFill="1" applyBorder="1" applyAlignment="1">
      <alignment vertical="center" wrapText="1"/>
    </xf>
    <xf numFmtId="0" fontId="160" fillId="0" borderId="317" xfId="0" applyFont="1" applyFill="1" applyBorder="1" applyAlignment="1">
      <alignment horizontal="center" vertical="center"/>
    </xf>
    <xf numFmtId="0" fontId="160" fillId="0" borderId="318" xfId="0" applyFont="1" applyFill="1" applyBorder="1" applyAlignment="1">
      <alignment horizontal="center" vertical="center"/>
    </xf>
    <xf numFmtId="0" fontId="165" fillId="0" borderId="0" xfId="0" applyFont="1" applyFill="1" applyBorder="1" applyAlignment="1">
      <alignment vertical="center"/>
    </xf>
    <xf numFmtId="0" fontId="192" fillId="54" borderId="111" xfId="0" applyFont="1" applyFill="1" applyBorder="1" applyAlignment="1">
      <alignment horizontal="center" vertical="center"/>
    </xf>
    <xf numFmtId="0" fontId="192" fillId="54" borderId="112" xfId="0" applyFont="1" applyFill="1" applyBorder="1" applyAlignment="1">
      <alignment horizontal="center" vertical="center"/>
    </xf>
    <xf numFmtId="174" fontId="192" fillId="55" borderId="113" xfId="803" applyNumberFormat="1" applyFont="1" applyFill="1" applyBorder="1" applyAlignment="1">
      <alignment horizontal="center" vertical="center" wrapText="1"/>
    </xf>
    <xf numFmtId="0" fontId="193" fillId="54" borderId="114" xfId="0" applyFont="1" applyFill="1" applyBorder="1" applyAlignment="1">
      <alignment horizontal="center" vertical="center"/>
    </xf>
    <xf numFmtId="0" fontId="193" fillId="54" borderId="48" xfId="0" applyFont="1" applyFill="1" applyBorder="1" applyAlignment="1">
      <alignment horizontal="center" vertical="center"/>
    </xf>
    <xf numFmtId="0" fontId="193" fillId="55" borderId="115" xfId="803" applyNumberFormat="1" applyFont="1" applyFill="1" applyBorder="1" applyAlignment="1">
      <alignment horizontal="center" vertical="center"/>
    </xf>
    <xf numFmtId="0" fontId="165" fillId="0" borderId="235" xfId="0" applyFont="1" applyFill="1" applyBorder="1" applyAlignment="1">
      <alignment horizontal="center" vertical="center"/>
    </xf>
    <xf numFmtId="42" fontId="165" fillId="0" borderId="166" xfId="0" applyNumberFormat="1" applyFont="1" applyFill="1" applyBorder="1" applyAlignment="1">
      <alignment vertical="center"/>
    </xf>
    <xf numFmtId="0" fontId="165" fillId="0" borderId="166" xfId="0" applyFont="1" applyFill="1" applyBorder="1" applyAlignment="1">
      <alignment vertical="center"/>
    </xf>
    <xf numFmtId="0" fontId="165" fillId="0" borderId="166" xfId="0" applyFont="1" applyFill="1" applyBorder="1" applyAlignment="1">
      <alignment horizontal="center" vertical="center"/>
    </xf>
    <xf numFmtId="174" fontId="165" fillId="0" borderId="234" xfId="803" applyNumberFormat="1" applyFont="1" applyFill="1" applyBorder="1" applyAlignment="1">
      <alignment vertical="center"/>
    </xf>
    <xf numFmtId="0" fontId="165" fillId="0" borderId="216" xfId="0" applyFont="1" applyFill="1" applyBorder="1" applyAlignment="1">
      <alignment horizontal="center" vertical="center"/>
    </xf>
    <xf numFmtId="42" fontId="165" fillId="0" borderId="218" xfId="0" applyNumberFormat="1" applyFont="1" applyFill="1" applyBorder="1" applyAlignment="1">
      <alignment vertical="center"/>
    </xf>
    <xf numFmtId="0" fontId="165" fillId="0" borderId="218" xfId="0" applyFont="1" applyFill="1" applyBorder="1" applyAlignment="1">
      <alignment vertical="center"/>
    </xf>
    <xf numFmtId="0" fontId="165" fillId="0" borderId="218" xfId="0" applyFont="1" applyFill="1" applyBorder="1" applyAlignment="1">
      <alignment horizontal="center" vertical="center"/>
    </xf>
    <xf numFmtId="174" fontId="165" fillId="0" borderId="238" xfId="803" applyNumberFormat="1" applyFont="1" applyFill="1" applyBorder="1"/>
    <xf numFmtId="43" fontId="165" fillId="0" borderId="238" xfId="786" applyFont="1" applyFill="1" applyBorder="1"/>
    <xf numFmtId="0" fontId="165" fillId="0" borderId="229" xfId="0" applyFont="1" applyFill="1" applyBorder="1" applyAlignment="1">
      <alignment horizontal="center" vertical="center"/>
    </xf>
    <xf numFmtId="0" fontId="165" fillId="0" borderId="232" xfId="0" applyFont="1" applyBorder="1"/>
    <xf numFmtId="0" fontId="165" fillId="0" borderId="232" xfId="0" applyFont="1" applyFill="1" applyBorder="1" applyAlignment="1">
      <alignment horizontal="center" vertical="center"/>
    </xf>
    <xf numFmtId="43" fontId="165" fillId="0" borderId="236" xfId="786" applyFont="1" applyBorder="1"/>
    <xf numFmtId="0" fontId="165" fillId="0" borderId="241" xfId="0" applyFont="1" applyBorder="1" applyAlignment="1">
      <alignment horizontal="center" vertical="center"/>
    </xf>
    <xf numFmtId="0" fontId="165" fillId="0" borderId="242" xfId="0" applyFont="1" applyFill="1" applyBorder="1" applyAlignment="1">
      <alignment horizontal="left" vertical="center"/>
    </xf>
    <xf numFmtId="0" fontId="165" fillId="0" borderId="243" xfId="0" applyFont="1" applyFill="1" applyBorder="1" applyAlignment="1">
      <alignment vertical="center"/>
    </xf>
    <xf numFmtId="43" fontId="165" fillId="0" borderId="243" xfId="786" applyFont="1" applyBorder="1" applyAlignment="1">
      <alignment horizontal="center" vertical="center"/>
    </xf>
    <xf numFmtId="0" fontId="165" fillId="0" borderId="244" xfId="0" applyFont="1" applyBorder="1" applyAlignment="1">
      <alignment horizontal="center" vertical="center"/>
    </xf>
    <xf numFmtId="0" fontId="165" fillId="0" borderId="232" xfId="0" applyFont="1" applyFill="1" applyBorder="1" applyAlignment="1">
      <alignment vertical="center"/>
    </xf>
    <xf numFmtId="0" fontId="165" fillId="0" borderId="245" xfId="0" applyFont="1" applyFill="1" applyBorder="1" applyAlignment="1">
      <alignment horizontal="center" vertical="center"/>
    </xf>
    <xf numFmtId="42" fontId="165" fillId="0" borderId="246" xfId="0" applyNumberFormat="1" applyFont="1" applyFill="1" applyBorder="1" applyAlignment="1">
      <alignment vertical="center"/>
    </xf>
    <xf numFmtId="0" fontId="165" fillId="0" borderId="246" xfId="0" applyFont="1" applyFill="1" applyBorder="1" applyAlignment="1">
      <alignment vertical="center"/>
    </xf>
    <xf numFmtId="0" fontId="165" fillId="0" borderId="246" xfId="0" applyFont="1" applyFill="1" applyBorder="1" applyAlignment="1">
      <alignment horizontal="center" vertical="center"/>
    </xf>
    <xf numFmtId="174" fontId="165" fillId="0" borderId="247" xfId="803" applyNumberFormat="1" applyFont="1" applyFill="1" applyBorder="1" applyAlignment="1">
      <alignment vertical="center"/>
    </xf>
    <xf numFmtId="0" fontId="165" fillId="0" borderId="0" xfId="0" applyFont="1" applyFill="1" applyBorder="1" applyAlignment="1">
      <alignment horizontal="center" vertical="center"/>
    </xf>
    <xf numFmtId="0" fontId="160" fillId="0" borderId="0" xfId="0" applyFont="1" applyFill="1" applyBorder="1" applyAlignment="1">
      <alignment vertical="center"/>
    </xf>
    <xf numFmtId="0" fontId="160" fillId="0" borderId="0" xfId="0" applyFont="1" applyFill="1" applyAlignment="1">
      <alignment horizontal="center"/>
    </xf>
    <xf numFmtId="0" fontId="197" fillId="0" borderId="0" xfId="0" applyFont="1" applyFill="1" applyAlignment="1">
      <alignment horizontal="center"/>
    </xf>
    <xf numFmtId="0" fontId="191" fillId="0" borderId="0" xfId="0" applyFont="1" applyAlignment="1">
      <alignment horizontal="center"/>
    </xf>
    <xf numFmtId="0" fontId="159" fillId="0" borderId="0" xfId="0" applyFont="1" applyAlignment="1">
      <alignment horizontal="center"/>
    </xf>
    <xf numFmtId="0" fontId="165" fillId="0" borderId="0" xfId="0" applyFont="1" applyFill="1" applyAlignment="1">
      <alignment horizontal="center"/>
    </xf>
    <xf numFmtId="0" fontId="160" fillId="0" borderId="0" xfId="0" applyFont="1" applyFill="1" applyAlignment="1">
      <alignment horizontal="center" vertical="center"/>
    </xf>
    <xf numFmtId="0" fontId="165" fillId="0" borderId="0" xfId="0" applyFont="1" applyFill="1" applyAlignment="1"/>
    <xf numFmtId="0" fontId="198" fillId="0" borderId="0" xfId="0" applyFont="1" applyFill="1" applyAlignment="1"/>
    <xf numFmtId="0" fontId="199" fillId="0" borderId="0" xfId="0" applyFont="1" applyFill="1" applyBorder="1" applyAlignment="1">
      <alignment horizontal="left"/>
    </xf>
    <xf numFmtId="41" fontId="199" fillId="0" borderId="0" xfId="803" applyFont="1" applyFill="1" applyBorder="1"/>
    <xf numFmtId="0" fontId="200" fillId="0" borderId="0" xfId="0" applyFont="1" applyFill="1" applyBorder="1" applyAlignment="1">
      <alignment horizontal="right"/>
    </xf>
    <xf numFmtId="41" fontId="200" fillId="0" borderId="0" xfId="803" applyFont="1" applyFill="1" applyBorder="1" applyAlignment="1">
      <alignment horizontal="left"/>
    </xf>
    <xf numFmtId="0" fontId="200" fillId="0" borderId="0" xfId="0" applyFont="1" applyFill="1" applyBorder="1" applyAlignment="1">
      <alignment horizontal="left"/>
    </xf>
    <xf numFmtId="41" fontId="200" fillId="0" borderId="0" xfId="803" applyFont="1" applyFill="1" applyBorder="1"/>
    <xf numFmtId="9" fontId="5" fillId="0" borderId="85" xfId="1816" applyNumberFormat="1" applyFont="1" applyFill="1" applyBorder="1" applyAlignment="1">
      <alignment horizontal="center" vertical="center"/>
    </xf>
    <xf numFmtId="0" fontId="18" fillId="0" borderId="0" xfId="0" applyFont="1" applyFill="1"/>
    <xf numFmtId="9" fontId="5" fillId="0" borderId="103" xfId="1816" applyNumberFormat="1" applyFont="1" applyFill="1" applyBorder="1" applyAlignment="1">
      <alignment horizontal="center" vertical="center"/>
    </xf>
    <xf numFmtId="0" fontId="18" fillId="0" borderId="85" xfId="0" applyFont="1" applyFill="1" applyBorder="1"/>
    <xf numFmtId="9" fontId="5" fillId="0" borderId="145" xfId="1816" applyNumberFormat="1" applyFont="1" applyFill="1" applyBorder="1" applyAlignment="1">
      <alignment horizontal="center" vertical="center"/>
    </xf>
    <xf numFmtId="0" fontId="18" fillId="0" borderId="108" xfId="0" applyFont="1" applyFill="1" applyBorder="1"/>
    <xf numFmtId="0" fontId="18" fillId="0" borderId="0" xfId="0" applyFont="1" applyFill="1" applyBorder="1"/>
    <xf numFmtId="9" fontId="173" fillId="0" borderId="0" xfId="1643" applyFont="1" applyFill="1" applyBorder="1" applyAlignment="1">
      <alignment horizontal="center" vertical="center"/>
    </xf>
    <xf numFmtId="43" fontId="172" fillId="0" borderId="0" xfId="1101" applyFont="1" applyFill="1" applyBorder="1" applyAlignment="1">
      <alignment horizontal="center" vertical="center" wrapText="1"/>
    </xf>
    <xf numFmtId="0" fontId="166" fillId="0" borderId="0" xfId="803" applyNumberFormat="1" applyFont="1" applyFill="1" applyBorder="1" applyAlignment="1">
      <alignment horizontal="center" vertical="center"/>
    </xf>
    <xf numFmtId="0" fontId="166" fillId="55" borderId="322" xfId="803" applyNumberFormat="1" applyFont="1" applyFill="1" applyBorder="1" applyAlignment="1">
      <alignment horizontal="center" vertical="center"/>
    </xf>
    <xf numFmtId="0" fontId="13" fillId="0" borderId="323" xfId="0" applyFont="1" applyFill="1" applyBorder="1" applyAlignment="1">
      <alignment horizontal="center" vertical="center"/>
    </xf>
    <xf numFmtId="42" fontId="13" fillId="0" borderId="324" xfId="0" applyNumberFormat="1" applyFont="1" applyFill="1" applyBorder="1" applyAlignment="1">
      <alignment vertical="center"/>
    </xf>
    <xf numFmtId="0" fontId="13" fillId="0" borderId="324" xfId="0" applyFont="1" applyFill="1" applyBorder="1" applyAlignment="1">
      <alignment vertical="center"/>
    </xf>
    <xf numFmtId="0" fontId="13" fillId="0" borderId="324" xfId="0" applyFont="1" applyFill="1" applyBorder="1" applyAlignment="1">
      <alignment horizontal="center" vertical="center"/>
    </xf>
    <xf numFmtId="0" fontId="0" fillId="0" borderId="325" xfId="0" applyBorder="1"/>
    <xf numFmtId="0" fontId="13" fillId="0" borderId="314" xfId="0" applyFont="1" applyFill="1" applyBorder="1" applyAlignment="1">
      <alignment horizontal="center" vertical="center"/>
    </xf>
    <xf numFmtId="42" fontId="13" fillId="0" borderId="305" xfId="0" applyNumberFormat="1" applyFont="1" applyFill="1" applyBorder="1" applyAlignment="1">
      <alignment vertical="center"/>
    </xf>
    <xf numFmtId="0" fontId="13" fillId="0" borderId="305" xfId="0" applyFont="1" applyFill="1" applyBorder="1" applyAlignment="1">
      <alignment vertical="center"/>
    </xf>
    <xf numFmtId="0" fontId="13" fillId="0" borderId="305" xfId="0" applyFont="1" applyFill="1" applyBorder="1" applyAlignment="1">
      <alignment horizontal="center" vertical="center"/>
    </xf>
    <xf numFmtId="0" fontId="0" fillId="0" borderId="326" xfId="0" applyBorder="1"/>
    <xf numFmtId="43" fontId="19" fillId="0" borderId="305" xfId="786" applyFont="1" applyFill="1" applyBorder="1" applyAlignment="1">
      <alignment horizontal="left" vertical="center"/>
    </xf>
    <xf numFmtId="0" fontId="18" fillId="0" borderId="326" xfId="0" applyFont="1" applyFill="1" applyBorder="1"/>
    <xf numFmtId="0" fontId="12" fillId="0" borderId="305" xfId="0" applyFont="1" applyFill="1" applyBorder="1" applyAlignment="1">
      <alignment horizontal="center" vertical="center"/>
    </xf>
    <xf numFmtId="9" fontId="173" fillId="0" borderId="328" xfId="1643" applyFont="1" applyFill="1" applyBorder="1" applyAlignment="1">
      <alignment horizontal="center" vertical="center"/>
    </xf>
    <xf numFmtId="42" fontId="13" fillId="0" borderId="329" xfId="0" applyNumberFormat="1" applyFont="1" applyFill="1" applyBorder="1" applyAlignment="1">
      <alignment vertical="center"/>
    </xf>
    <xf numFmtId="0" fontId="13" fillId="0" borderId="329" xfId="0" applyFont="1" applyFill="1" applyBorder="1" applyAlignment="1">
      <alignment vertical="center"/>
    </xf>
    <xf numFmtId="0" fontId="13" fillId="0" borderId="329" xfId="0" applyFont="1" applyFill="1" applyBorder="1" applyAlignment="1">
      <alignment horizontal="center" vertical="center"/>
    </xf>
    <xf numFmtId="0" fontId="13" fillId="0" borderId="330" xfId="0" applyFont="1" applyFill="1" applyBorder="1" applyAlignment="1">
      <alignment horizontal="center" vertical="center"/>
    </xf>
    <xf numFmtId="42" fontId="13" fillId="0" borderId="331" xfId="0" applyNumberFormat="1" applyFont="1" applyFill="1" applyBorder="1" applyAlignment="1">
      <alignment vertical="center"/>
    </xf>
    <xf numFmtId="0" fontId="13" fillId="0" borderId="331" xfId="0" applyFont="1" applyFill="1" applyBorder="1" applyAlignment="1">
      <alignment vertical="center"/>
    </xf>
    <xf numFmtId="0" fontId="13" fillId="0" borderId="331" xfId="0" applyFont="1" applyFill="1" applyBorder="1" applyAlignment="1">
      <alignment horizontal="center" vertical="center"/>
    </xf>
    <xf numFmtId="0" fontId="18" fillId="0" borderId="332" xfId="0" applyFont="1" applyFill="1" applyBorder="1"/>
    <xf numFmtId="0" fontId="12" fillId="0" borderId="296" xfId="0" applyFont="1" applyFill="1" applyBorder="1" applyAlignment="1">
      <alignment horizontal="left" vertical="center"/>
    </xf>
    <xf numFmtId="0" fontId="180" fillId="0" borderId="0" xfId="0" applyFont="1" applyFill="1"/>
    <xf numFmtId="0" fontId="0" fillId="0" borderId="37" xfId="0" applyBorder="1"/>
    <xf numFmtId="0" fontId="202" fillId="0" borderId="0" xfId="0" applyFont="1" applyFill="1" applyAlignment="1">
      <alignment vertical="center"/>
    </xf>
    <xf numFmtId="0" fontId="160" fillId="0" borderId="352" xfId="1621" applyFont="1" applyFill="1" applyBorder="1" applyAlignment="1" applyProtection="1">
      <alignment horizontal="center"/>
    </xf>
    <xf numFmtId="0" fontId="179" fillId="0" borderId="320" xfId="0" applyFont="1" applyFill="1" applyBorder="1" applyAlignment="1">
      <alignment horizontal="left" vertical="center"/>
    </xf>
    <xf numFmtId="0" fontId="163" fillId="0" borderId="353" xfId="0" applyFont="1" applyFill="1" applyBorder="1" applyAlignment="1">
      <alignment horizontal="center"/>
    </xf>
    <xf numFmtId="0" fontId="163" fillId="0" borderId="354" xfId="0" applyFont="1" applyFill="1" applyBorder="1" applyAlignment="1">
      <alignment horizontal="center"/>
    </xf>
    <xf numFmtId="43" fontId="13" fillId="51" borderId="0" xfId="0" applyNumberFormat="1" applyFont="1" applyFill="1" applyAlignment="1">
      <alignment vertical="center"/>
    </xf>
    <xf numFmtId="0" fontId="159" fillId="0" borderId="311" xfId="0" applyFont="1" applyFill="1" applyBorder="1" applyAlignment="1">
      <alignment horizontal="left" vertical="center"/>
    </xf>
    <xf numFmtId="41" fontId="160" fillId="0" borderId="353" xfId="803" applyFont="1" applyFill="1" applyBorder="1"/>
    <xf numFmtId="0" fontId="160" fillId="0" borderId="353" xfId="1621" applyFont="1" applyFill="1" applyBorder="1" applyAlignment="1">
      <alignment horizontal="center"/>
    </xf>
    <xf numFmtId="0" fontId="160" fillId="0" borderId="354" xfId="1621" applyFont="1" applyFill="1" applyBorder="1" applyAlignment="1">
      <alignment horizontal="center"/>
    </xf>
    <xf numFmtId="0" fontId="171" fillId="51" borderId="0" xfId="1468" applyFont="1" applyFill="1" applyAlignment="1">
      <alignment vertical="center"/>
    </xf>
    <xf numFmtId="0" fontId="171" fillId="0" borderId="0" xfId="1468" applyFont="1" applyFill="1" applyAlignment="1">
      <alignment vertical="center"/>
    </xf>
    <xf numFmtId="1" fontId="12" fillId="0" borderId="0" xfId="1023" applyNumberFormat="1" applyFont="1" applyFill="1" applyBorder="1" applyAlignment="1">
      <alignment horizontal="center" vertical="center"/>
    </xf>
    <xf numFmtId="43" fontId="12" fillId="0" borderId="0" xfId="1023" applyFont="1" applyFill="1" applyBorder="1" applyAlignment="1">
      <alignment vertical="center"/>
    </xf>
    <xf numFmtId="43" fontId="12" fillId="0" borderId="52" xfId="1023" applyFont="1" applyFill="1" applyBorder="1" applyAlignment="1">
      <alignment vertical="center"/>
    </xf>
    <xf numFmtId="43" fontId="12" fillId="0" borderId="37" xfId="1023" applyFont="1" applyFill="1" applyBorder="1" applyAlignment="1">
      <alignment vertical="center"/>
    </xf>
    <xf numFmtId="1" fontId="12" fillId="0" borderId="357" xfId="1023" applyNumberFormat="1" applyFont="1" applyFill="1" applyBorder="1" applyAlignment="1">
      <alignment horizontal="center" vertical="center"/>
    </xf>
    <xf numFmtId="43" fontId="12" fillId="0" borderId="357" xfId="1023" applyFont="1" applyFill="1" applyBorder="1" applyAlignment="1">
      <alignment vertical="center"/>
    </xf>
    <xf numFmtId="43" fontId="12" fillId="0" borderId="345" xfId="1023" applyFont="1" applyFill="1" applyBorder="1" applyAlignment="1">
      <alignment vertical="center"/>
    </xf>
    <xf numFmtId="0" fontId="204" fillId="0" borderId="345" xfId="0" applyFont="1" applyBorder="1" applyAlignment="1">
      <alignment horizontal="center" vertical="center"/>
    </xf>
    <xf numFmtId="0" fontId="205" fillId="0" borderId="357" xfId="0" applyFont="1" applyBorder="1" applyAlignment="1">
      <alignment horizontal="center" vertical="center"/>
    </xf>
    <xf numFmtId="43" fontId="5" fillId="0" borderId="345" xfId="1023" applyFont="1" applyFill="1" applyBorder="1" applyAlignment="1">
      <alignment horizontal="center" vertical="center"/>
    </xf>
    <xf numFmtId="43" fontId="204" fillId="0" borderId="345" xfId="1023" applyFont="1" applyBorder="1" applyAlignment="1">
      <alignment vertical="center"/>
    </xf>
    <xf numFmtId="0" fontId="204" fillId="0" borderId="232" xfId="0" applyFont="1" applyBorder="1" applyAlignment="1">
      <alignment horizontal="center" vertical="center"/>
    </xf>
    <xf numFmtId="0" fontId="205" fillId="0" borderId="284" xfId="0" applyFont="1" applyBorder="1" applyAlignment="1">
      <alignment horizontal="center" vertical="center"/>
    </xf>
    <xf numFmtId="4" fontId="204" fillId="0" borderId="345" xfId="857" applyNumberFormat="1" applyFont="1" applyFill="1" applyBorder="1" applyAlignment="1">
      <alignment horizontal="center"/>
    </xf>
    <xf numFmtId="43" fontId="204" fillId="0" borderId="345" xfId="1023" applyFont="1" applyFill="1" applyBorder="1" applyAlignment="1">
      <alignment horizontal="right" vertical="center" wrapText="1"/>
    </xf>
    <xf numFmtId="0" fontId="204" fillId="0" borderId="227" xfId="1495" applyFont="1" applyBorder="1"/>
    <xf numFmtId="0" fontId="204" fillId="0" borderId="227" xfId="1495" applyFont="1" applyBorder="1" applyAlignment="1">
      <alignment horizontal="left"/>
    </xf>
    <xf numFmtId="43" fontId="76" fillId="0" borderId="345" xfId="1023" applyFont="1" applyFill="1" applyBorder="1" applyAlignment="1">
      <alignment vertical="center"/>
    </xf>
    <xf numFmtId="1" fontId="5" fillId="0" borderId="357" xfId="1023" applyNumberFormat="1" applyFont="1" applyFill="1" applyBorder="1" applyAlignment="1">
      <alignment horizontal="center" vertical="center"/>
    </xf>
    <xf numFmtId="43" fontId="5" fillId="0" borderId="357" xfId="1023" applyFont="1" applyFill="1" applyBorder="1" applyAlignment="1">
      <alignment vertical="center"/>
    </xf>
    <xf numFmtId="43" fontId="204" fillId="0" borderId="345" xfId="1023" applyFont="1" applyFill="1" applyBorder="1" applyAlignment="1">
      <alignment horizontal="center" vertical="center"/>
    </xf>
    <xf numFmtId="1" fontId="11" fillId="0" borderId="357" xfId="1023" applyNumberFormat="1" applyFont="1" applyFill="1" applyBorder="1" applyAlignment="1">
      <alignment horizontal="center" vertical="center"/>
    </xf>
    <xf numFmtId="43" fontId="11" fillId="0" borderId="357" xfId="1023" applyFont="1" applyFill="1" applyBorder="1" applyAlignment="1">
      <alignment vertical="center"/>
    </xf>
    <xf numFmtId="43" fontId="12" fillId="0" borderId="345" xfId="1023" applyFont="1" applyFill="1" applyBorder="1" applyAlignment="1">
      <alignment horizontal="center" vertical="center"/>
    </xf>
    <xf numFmtId="43" fontId="12" fillId="0" borderId="227" xfId="1023" applyFont="1" applyFill="1" applyBorder="1" applyAlignment="1">
      <alignment vertical="center"/>
    </xf>
    <xf numFmtId="1" fontId="12" fillId="0" borderId="284" xfId="1023" applyNumberFormat="1" applyFont="1" applyFill="1" applyBorder="1" applyAlignment="1">
      <alignment horizontal="center" vertical="center"/>
    </xf>
    <xf numFmtId="43" fontId="12" fillId="0" borderId="284" xfId="1023" applyFont="1" applyFill="1" applyBorder="1" applyAlignment="1">
      <alignment vertical="center"/>
    </xf>
    <xf numFmtId="43" fontId="206" fillId="0" borderId="345" xfId="1023" applyFont="1" applyFill="1" applyBorder="1" applyAlignment="1">
      <alignment vertical="center"/>
    </xf>
    <xf numFmtId="0" fontId="179" fillId="0" borderId="257" xfId="1815" applyFont="1" applyFill="1" applyBorder="1"/>
    <xf numFmtId="0" fontId="169" fillId="0" borderId="265" xfId="1815" applyFont="1" applyFill="1" applyBorder="1"/>
    <xf numFmtId="0" fontId="169" fillId="0" borderId="265" xfId="1815" applyFont="1" applyFill="1" applyBorder="1" applyAlignment="1">
      <alignment horizontal="center"/>
    </xf>
    <xf numFmtId="0" fontId="169" fillId="0" borderId="268" xfId="1815" applyFont="1" applyFill="1" applyBorder="1"/>
    <xf numFmtId="0" fontId="160" fillId="0" borderId="166" xfId="0" applyFont="1" applyFill="1" applyBorder="1" applyAlignment="1">
      <alignment horizontal="center"/>
    </xf>
    <xf numFmtId="43" fontId="12" fillId="57" borderId="157" xfId="1023" applyFont="1" applyFill="1" applyBorder="1" applyAlignment="1">
      <alignment horizontal="center" vertical="center"/>
    </xf>
    <xf numFmtId="0" fontId="201" fillId="0" borderId="0" xfId="0" applyFont="1" applyFill="1"/>
    <xf numFmtId="43" fontId="13" fillId="0" borderId="0" xfId="786" applyFont="1" applyFill="1" applyAlignment="1">
      <alignment vertical="center"/>
    </xf>
    <xf numFmtId="43" fontId="171" fillId="51" borderId="0" xfId="786" applyFont="1" applyFill="1" applyAlignment="1">
      <alignment vertical="center"/>
    </xf>
    <xf numFmtId="43" fontId="13" fillId="0" borderId="0" xfId="786" applyFont="1" applyFill="1"/>
    <xf numFmtId="43" fontId="171" fillId="0" borderId="0" xfId="786" applyFont="1" applyFill="1"/>
    <xf numFmtId="43" fontId="171" fillId="0" borderId="0" xfId="786" applyFont="1" applyFill="1" applyAlignment="1">
      <alignment vertical="center"/>
    </xf>
    <xf numFmtId="43" fontId="13" fillId="51" borderId="0" xfId="786" applyFont="1" applyFill="1" applyAlignment="1">
      <alignment vertical="center"/>
    </xf>
    <xf numFmtId="43" fontId="165" fillId="51" borderId="0" xfId="786" applyFont="1" applyFill="1" applyAlignment="1">
      <alignment vertical="center"/>
    </xf>
    <xf numFmtId="1" fontId="12" fillId="0" borderId="165" xfId="1023" applyNumberFormat="1" applyFont="1" applyFill="1" applyBorder="1" applyAlignment="1">
      <alignment horizontal="center" vertical="center"/>
    </xf>
    <xf numFmtId="43" fontId="12" fillId="0" borderId="165" xfId="1023" applyFont="1" applyFill="1" applyBorder="1" applyAlignment="1">
      <alignment vertical="center"/>
    </xf>
    <xf numFmtId="43" fontId="12" fillId="0" borderId="37" xfId="1023" applyFont="1" applyFill="1" applyBorder="1" applyAlignment="1">
      <alignment horizontal="center" vertical="center"/>
    </xf>
    <xf numFmtId="43" fontId="12" fillId="0" borderId="362" xfId="1023" applyFont="1" applyFill="1" applyBorder="1" applyAlignment="1">
      <alignment vertical="center"/>
    </xf>
    <xf numFmtId="0" fontId="204" fillId="0" borderId="362" xfId="0" applyFont="1" applyBorder="1" applyAlignment="1">
      <alignment horizontal="left" vertical="center"/>
    </xf>
    <xf numFmtId="0" fontId="205" fillId="0" borderId="362" xfId="0" applyFont="1" applyBorder="1" applyAlignment="1">
      <alignment horizontal="center" vertical="center"/>
    </xf>
    <xf numFmtId="0" fontId="205" fillId="0" borderId="345" xfId="0" applyFont="1" applyBorder="1" applyAlignment="1">
      <alignment horizontal="center" vertical="center"/>
    </xf>
    <xf numFmtId="0" fontId="204" fillId="0" borderId="362" xfId="0" applyFont="1" applyBorder="1" applyAlignment="1">
      <alignment horizontal="center" vertical="center"/>
    </xf>
    <xf numFmtId="0" fontId="204" fillId="0" borderId="345" xfId="0" applyFont="1" applyBorder="1" applyAlignment="1">
      <alignment horizontal="left" vertical="center"/>
    </xf>
    <xf numFmtId="0" fontId="204" fillId="0" borderId="362" xfId="1495" applyFont="1" applyBorder="1" applyAlignment="1">
      <alignment horizontal="left"/>
    </xf>
    <xf numFmtId="0" fontId="204" fillId="0" borderId="362" xfId="1495" applyFont="1" applyBorder="1"/>
    <xf numFmtId="0" fontId="205" fillId="0" borderId="362" xfId="1495" applyFont="1" applyBorder="1"/>
    <xf numFmtId="0" fontId="205" fillId="0" borderId="345" xfId="1495" applyFont="1" applyBorder="1"/>
    <xf numFmtId="0" fontId="204" fillId="0" borderId="345" xfId="1495" applyFont="1" applyBorder="1"/>
    <xf numFmtId="43" fontId="5" fillId="0" borderId="362" xfId="1023" applyFont="1" applyFill="1" applyBorder="1" applyAlignment="1">
      <alignment vertical="center"/>
    </xf>
    <xf numFmtId="43" fontId="5" fillId="0" borderId="345" xfId="1023" applyFont="1" applyFill="1" applyBorder="1" applyAlignment="1">
      <alignment vertical="center"/>
    </xf>
    <xf numFmtId="43" fontId="11" fillId="0" borderId="362" xfId="1023" applyFont="1" applyFill="1" applyBorder="1" applyAlignment="1">
      <alignment vertical="center"/>
    </xf>
    <xf numFmtId="43" fontId="12" fillId="57" borderId="345" xfId="1023" applyFont="1" applyFill="1" applyBorder="1" applyAlignment="1">
      <alignment horizontal="center" vertical="center"/>
    </xf>
    <xf numFmtId="43" fontId="18" fillId="0" borderId="0" xfId="1023" applyFont="1"/>
    <xf numFmtId="43" fontId="0" fillId="0" borderId="0" xfId="1023" applyFont="1"/>
    <xf numFmtId="173" fontId="0" fillId="0" borderId="0" xfId="1023" applyNumberFormat="1" applyFont="1"/>
    <xf numFmtId="0" fontId="173" fillId="0" borderId="367" xfId="1853" applyFont="1" applyBorder="1" applyAlignment="1">
      <alignment horizontal="center" vertical="center"/>
    </xf>
    <xf numFmtId="231" fontId="173" fillId="0" borderId="368" xfId="1820" quotePrefix="1" applyNumberFormat="1" applyFont="1" applyFill="1" applyBorder="1" applyAlignment="1">
      <alignment vertical="center"/>
    </xf>
    <xf numFmtId="0" fontId="160" fillId="0" borderId="369" xfId="1621" applyFont="1" applyFill="1" applyBorder="1" applyAlignment="1" applyProtection="1">
      <alignment horizontal="center"/>
    </xf>
    <xf numFmtId="0" fontId="160" fillId="0" borderId="370" xfId="1621" applyFont="1" applyFill="1" applyBorder="1" applyAlignment="1" applyProtection="1">
      <alignment horizontal="center"/>
    </xf>
    <xf numFmtId="0" fontId="177" fillId="0" borderId="0" xfId="0" applyFont="1"/>
    <xf numFmtId="0" fontId="179" fillId="0" borderId="345" xfId="1815" applyFont="1" applyFill="1" applyBorder="1" applyAlignment="1">
      <alignment horizontal="center"/>
    </xf>
    <xf numFmtId="231" fontId="179" fillId="0" borderId="358" xfId="1553" applyNumberFormat="1" applyFont="1" applyFill="1" applyBorder="1"/>
    <xf numFmtId="0" fontId="160" fillId="0" borderId="256" xfId="1815" applyFont="1" applyFill="1" applyBorder="1"/>
    <xf numFmtId="43" fontId="203" fillId="51" borderId="259" xfId="786" applyFont="1" applyFill="1" applyBorder="1"/>
    <xf numFmtId="0" fontId="201" fillId="0" borderId="0" xfId="0" applyFont="1"/>
    <xf numFmtId="43" fontId="201" fillId="0" borderId="0" xfId="786" applyFont="1"/>
    <xf numFmtId="1" fontId="12" fillId="0" borderId="380" xfId="1023" applyNumberFormat="1" applyFont="1" applyFill="1" applyBorder="1" applyAlignment="1">
      <alignment horizontal="center" vertical="center"/>
    </xf>
    <xf numFmtId="43" fontId="12" fillId="0" borderId="380" xfId="1023" applyFont="1" applyFill="1" applyBorder="1" applyAlignment="1">
      <alignment vertical="center"/>
    </xf>
    <xf numFmtId="43" fontId="12" fillId="0" borderId="381" xfId="1023" applyFont="1" applyFill="1" applyBorder="1" applyAlignment="1">
      <alignment vertical="center"/>
    </xf>
    <xf numFmtId="43" fontId="12" fillId="0" borderId="381" xfId="1023" applyFont="1" applyFill="1" applyBorder="1" applyAlignment="1">
      <alignment horizontal="center" vertical="center"/>
    </xf>
    <xf numFmtId="1" fontId="12" fillId="0" borderId="383" xfId="1023" applyNumberFormat="1" applyFont="1" applyFill="1" applyBorder="1" applyAlignment="1">
      <alignment horizontal="center" vertical="center"/>
    </xf>
    <xf numFmtId="43" fontId="12" fillId="0" borderId="383" xfId="1023" applyFont="1" applyFill="1" applyBorder="1" applyAlignment="1">
      <alignment vertical="center"/>
    </xf>
    <xf numFmtId="43" fontId="12" fillId="0" borderId="384" xfId="1023" applyFont="1" applyFill="1" applyBorder="1" applyAlignment="1">
      <alignment vertical="center"/>
    </xf>
    <xf numFmtId="43" fontId="12" fillId="0" borderId="385" xfId="1023" applyFont="1" applyFill="1" applyBorder="1" applyAlignment="1">
      <alignment vertical="center"/>
    </xf>
    <xf numFmtId="43" fontId="12" fillId="0" borderId="385" xfId="1023" applyFont="1" applyFill="1" applyBorder="1" applyAlignment="1">
      <alignment horizontal="center" vertical="center"/>
    </xf>
    <xf numFmtId="1" fontId="207" fillId="0" borderId="357" xfId="1023" applyNumberFormat="1" applyFont="1" applyFill="1" applyBorder="1" applyAlignment="1">
      <alignment horizontal="center" vertical="center"/>
    </xf>
    <xf numFmtId="43" fontId="207" fillId="0" borderId="357" xfId="1023" applyFont="1" applyFill="1" applyBorder="1" applyAlignment="1">
      <alignment vertical="center"/>
    </xf>
    <xf numFmtId="43" fontId="206" fillId="0" borderId="315" xfId="1023" applyFont="1" applyFill="1" applyBorder="1" applyAlignment="1">
      <alignment vertical="center"/>
    </xf>
    <xf numFmtId="1" fontId="206" fillId="0" borderId="357" xfId="1023" applyNumberFormat="1" applyFont="1" applyFill="1" applyBorder="1" applyAlignment="1">
      <alignment horizontal="center" vertical="center"/>
    </xf>
    <xf numFmtId="43" fontId="206" fillId="0" borderId="357" xfId="1023" applyFont="1" applyFill="1" applyBorder="1" applyAlignment="1">
      <alignment vertical="center"/>
    </xf>
    <xf numFmtId="43" fontId="206" fillId="0" borderId="383" xfId="1023" applyFont="1" applyFill="1" applyBorder="1" applyAlignment="1">
      <alignment vertical="center"/>
    </xf>
    <xf numFmtId="43" fontId="206" fillId="0" borderId="362" xfId="1023" applyFont="1" applyFill="1" applyBorder="1" applyAlignment="1">
      <alignment vertical="center"/>
    </xf>
    <xf numFmtId="43" fontId="206" fillId="0" borderId="384" xfId="1023" applyFont="1" applyFill="1" applyBorder="1" applyAlignment="1">
      <alignment vertical="center"/>
    </xf>
    <xf numFmtId="0" fontId="0" fillId="0" borderId="385" xfId="0" applyBorder="1"/>
    <xf numFmtId="0" fontId="12" fillId="0" borderId="0" xfId="0" applyFont="1"/>
    <xf numFmtId="0" fontId="206" fillId="0" borderId="0" xfId="0" applyFont="1"/>
    <xf numFmtId="43" fontId="0" fillId="0" borderId="385" xfId="786" applyFont="1" applyBorder="1"/>
    <xf numFmtId="43" fontId="206" fillId="0" borderId="345" xfId="1023" applyFont="1" applyFill="1" applyBorder="1" applyAlignment="1">
      <alignment horizontal="center" vertical="center"/>
    </xf>
    <xf numFmtId="43" fontId="207" fillId="0" borderId="362" xfId="1023" applyFont="1" applyFill="1" applyBorder="1" applyAlignment="1">
      <alignment vertical="center"/>
    </xf>
    <xf numFmtId="0" fontId="201" fillId="0" borderId="385" xfId="0" applyFont="1" applyBorder="1"/>
    <xf numFmtId="0" fontId="201" fillId="0" borderId="37" xfId="0" applyFont="1" applyBorder="1"/>
    <xf numFmtId="43" fontId="201" fillId="0" borderId="37" xfId="786" applyFont="1" applyBorder="1"/>
    <xf numFmtId="0" fontId="201" fillId="0" borderId="381" xfId="0" applyFont="1" applyBorder="1"/>
    <xf numFmtId="43" fontId="201" fillId="0" borderId="381" xfId="786" applyFont="1" applyBorder="1"/>
    <xf numFmtId="1" fontId="206" fillId="0" borderId="383" xfId="1023" applyNumberFormat="1" applyFont="1" applyFill="1" applyBorder="1" applyAlignment="1">
      <alignment horizontal="center" vertical="center"/>
    </xf>
    <xf numFmtId="43" fontId="206" fillId="0" borderId="385" xfId="1023" applyFont="1" applyFill="1" applyBorder="1" applyAlignment="1">
      <alignment vertical="center"/>
    </xf>
    <xf numFmtId="43" fontId="206" fillId="0" borderId="385" xfId="1023" applyFont="1" applyFill="1" applyBorder="1" applyAlignment="1">
      <alignment horizontal="center" vertical="center"/>
    </xf>
    <xf numFmtId="43" fontId="201" fillId="0" borderId="385" xfId="786" applyFont="1" applyBorder="1"/>
    <xf numFmtId="43" fontId="162" fillId="0" borderId="385" xfId="1023" applyFont="1" applyFill="1" applyBorder="1" applyAlignment="1">
      <alignment vertical="center"/>
    </xf>
    <xf numFmtId="41" fontId="160" fillId="0" borderId="369" xfId="803" applyFont="1" applyFill="1" applyBorder="1" applyProtection="1"/>
    <xf numFmtId="0" fontId="160" fillId="0" borderId="369" xfId="0" applyFont="1" applyFill="1" applyBorder="1" applyAlignment="1">
      <alignment horizontal="center"/>
    </xf>
    <xf numFmtId="0" fontId="160" fillId="0" borderId="370" xfId="0" applyFont="1" applyFill="1" applyBorder="1" applyAlignment="1">
      <alignment horizontal="center"/>
    </xf>
    <xf numFmtId="41" fontId="187" fillId="0" borderId="386" xfId="803" applyFont="1" applyFill="1" applyBorder="1" applyProtection="1"/>
    <xf numFmtId="0" fontId="61" fillId="0" borderId="0" xfId="0" applyFont="1" applyBorder="1" applyAlignment="1">
      <alignment horizontal="center" vertical="center"/>
    </xf>
    <xf numFmtId="0" fontId="183" fillId="0" borderId="0" xfId="0" applyFont="1" applyAlignment="1">
      <alignment horizontal="center"/>
    </xf>
    <xf numFmtId="0" fontId="183" fillId="0" borderId="0" xfId="0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85" fillId="0" borderId="0" xfId="0" applyFont="1" applyAlignment="1">
      <alignment horizontal="center"/>
    </xf>
    <xf numFmtId="0" fontId="175" fillId="0" borderId="0" xfId="0" applyFont="1" applyBorder="1" applyAlignment="1">
      <alignment horizontal="center" vertical="center"/>
    </xf>
    <xf numFmtId="0" fontId="174" fillId="0" borderId="0" xfId="0" applyFont="1" applyBorder="1" applyAlignment="1">
      <alignment horizontal="center" vertical="center"/>
    </xf>
    <xf numFmtId="0" fontId="184" fillId="0" borderId="0" xfId="0" applyFont="1" applyAlignment="1">
      <alignment horizontal="center" vertical="center"/>
    </xf>
    <xf numFmtId="1" fontId="209" fillId="0" borderId="357" xfId="1023" applyNumberFormat="1" applyFont="1" applyFill="1" applyBorder="1" applyAlignment="1">
      <alignment horizontal="center" vertical="center"/>
    </xf>
    <xf numFmtId="43" fontId="209" fillId="0" borderId="357" xfId="1023" applyFont="1" applyFill="1" applyBorder="1" applyAlignment="1">
      <alignment vertical="center"/>
    </xf>
    <xf numFmtId="43" fontId="209" fillId="0" borderId="362" xfId="1023" applyFont="1" applyFill="1" applyBorder="1" applyAlignment="1">
      <alignment vertical="center"/>
    </xf>
    <xf numFmtId="43" fontId="210" fillId="0" borderId="362" xfId="1023" applyFont="1" applyFill="1" applyBorder="1" applyAlignment="1">
      <alignment vertical="center"/>
    </xf>
    <xf numFmtId="43" fontId="210" fillId="0" borderId="345" xfId="1023" applyFont="1" applyFill="1" applyBorder="1" applyAlignment="1">
      <alignment vertical="center"/>
    </xf>
    <xf numFmtId="43" fontId="210" fillId="0" borderId="345" xfId="1023" applyFont="1" applyFill="1" applyBorder="1" applyAlignment="1">
      <alignment horizontal="center" vertical="center"/>
    </xf>
    <xf numFmtId="0" fontId="211" fillId="0" borderId="0" xfId="0" applyFont="1"/>
    <xf numFmtId="43" fontId="211" fillId="0" borderId="0" xfId="786" applyFont="1"/>
    <xf numFmtId="1" fontId="210" fillId="0" borderId="357" xfId="1023" applyNumberFormat="1" applyFont="1" applyFill="1" applyBorder="1" applyAlignment="1">
      <alignment horizontal="center" vertical="center"/>
    </xf>
    <xf numFmtId="43" fontId="210" fillId="0" borderId="357" xfId="1023" applyFont="1" applyFill="1" applyBorder="1" applyAlignment="1">
      <alignment vertical="center"/>
    </xf>
    <xf numFmtId="0" fontId="211" fillId="0" borderId="385" xfId="0" applyFont="1" applyBorder="1"/>
    <xf numFmtId="0" fontId="211" fillId="0" borderId="37" xfId="0" applyFont="1" applyBorder="1"/>
    <xf numFmtId="43" fontId="211" fillId="0" borderId="37" xfId="786" applyFont="1" applyBorder="1"/>
    <xf numFmtId="0" fontId="211" fillId="0" borderId="381" xfId="0" applyFont="1" applyBorder="1"/>
    <xf numFmtId="43" fontId="211" fillId="0" borderId="381" xfId="786" applyFont="1" applyBorder="1"/>
    <xf numFmtId="0" fontId="211" fillId="0" borderId="0" xfId="0" applyFont="1" applyBorder="1"/>
    <xf numFmtId="0" fontId="211" fillId="0" borderId="232" xfId="0" applyFont="1" applyBorder="1"/>
    <xf numFmtId="43" fontId="211" fillId="0" borderId="232" xfId="786" applyFont="1" applyBorder="1"/>
    <xf numFmtId="1" fontId="209" fillId="0" borderId="383" xfId="1023" applyNumberFormat="1" applyFont="1" applyFill="1" applyBorder="1" applyAlignment="1">
      <alignment horizontal="center" vertical="center"/>
    </xf>
    <xf numFmtId="43" fontId="209" fillId="0" borderId="383" xfId="1023" applyFont="1" applyFill="1" applyBorder="1" applyAlignment="1">
      <alignment vertical="center"/>
    </xf>
    <xf numFmtId="43" fontId="209" fillId="0" borderId="384" xfId="1023" applyFont="1" applyFill="1" applyBorder="1" applyAlignment="1">
      <alignment vertical="center"/>
    </xf>
    <xf numFmtId="43" fontId="210" fillId="0" borderId="385" xfId="1023" applyFont="1" applyFill="1" applyBorder="1" applyAlignment="1">
      <alignment horizontal="center" vertical="center"/>
    </xf>
    <xf numFmtId="43" fontId="211" fillId="0" borderId="385" xfId="786" applyFont="1" applyBorder="1"/>
    <xf numFmtId="0" fontId="211" fillId="0" borderId="310" xfId="0" applyFont="1" applyBorder="1"/>
    <xf numFmtId="43" fontId="211" fillId="0" borderId="385" xfId="0" applyNumberFormat="1" applyFont="1" applyBorder="1"/>
    <xf numFmtId="1" fontId="210" fillId="0" borderId="383" xfId="1023" applyNumberFormat="1" applyFont="1" applyFill="1" applyBorder="1" applyAlignment="1">
      <alignment horizontal="center" vertical="center"/>
    </xf>
    <xf numFmtId="43" fontId="210" fillId="0" borderId="383" xfId="1023" applyFont="1" applyFill="1" applyBorder="1" applyAlignment="1">
      <alignment vertical="center"/>
    </xf>
    <xf numFmtId="43" fontId="210" fillId="0" borderId="384" xfId="1023" applyFont="1" applyFill="1" applyBorder="1" applyAlignment="1">
      <alignment vertical="center"/>
    </xf>
    <xf numFmtId="43" fontId="210" fillId="0" borderId="385" xfId="1023" applyFont="1" applyFill="1" applyBorder="1" applyAlignment="1">
      <alignment vertical="center"/>
    </xf>
    <xf numFmtId="0" fontId="211" fillId="0" borderId="382" xfId="0" applyFont="1" applyBorder="1"/>
    <xf numFmtId="43" fontId="211" fillId="0" borderId="382" xfId="786" applyFont="1" applyBorder="1"/>
    <xf numFmtId="43" fontId="211" fillId="0" borderId="0" xfId="786" applyFont="1" applyBorder="1"/>
    <xf numFmtId="43" fontId="210" fillId="0" borderId="227" xfId="1023" applyFont="1" applyFill="1" applyBorder="1" applyAlignment="1">
      <alignment vertical="center"/>
    </xf>
    <xf numFmtId="43" fontId="210" fillId="0" borderId="315" xfId="1023" applyFont="1" applyFill="1" applyBorder="1" applyAlignment="1">
      <alignment vertical="center"/>
    </xf>
    <xf numFmtId="1" fontId="210" fillId="0" borderId="0" xfId="1023" applyNumberFormat="1" applyFont="1" applyFill="1" applyBorder="1" applyAlignment="1">
      <alignment horizontal="center" vertical="center"/>
    </xf>
    <xf numFmtId="43" fontId="210" fillId="0" borderId="0" xfId="1023" applyFont="1" applyFill="1" applyBorder="1" applyAlignment="1">
      <alignment vertical="center"/>
    </xf>
    <xf numFmtId="43" fontId="210" fillId="57" borderId="345" xfId="1023" applyFont="1" applyFill="1" applyBorder="1" applyAlignment="1">
      <alignment horizontal="center" vertical="center"/>
    </xf>
    <xf numFmtId="1" fontId="210" fillId="0" borderId="284" xfId="1023" applyNumberFormat="1" applyFont="1" applyFill="1" applyBorder="1" applyAlignment="1">
      <alignment horizontal="center" vertical="center"/>
    </xf>
    <xf numFmtId="43" fontId="210" fillId="0" borderId="284" xfId="1023" applyFont="1" applyFill="1" applyBorder="1" applyAlignment="1">
      <alignment vertical="center"/>
    </xf>
    <xf numFmtId="43" fontId="211" fillId="0" borderId="0" xfId="0" applyNumberFormat="1" applyFont="1"/>
    <xf numFmtId="43" fontId="211" fillId="0" borderId="310" xfId="0" applyNumberFormat="1" applyFont="1" applyBorder="1"/>
    <xf numFmtId="43" fontId="201" fillId="0" borderId="0" xfId="0" applyNumberFormat="1" applyFont="1"/>
    <xf numFmtId="0" fontId="183" fillId="0" borderId="387" xfId="0" applyFont="1" applyBorder="1" applyAlignment="1">
      <alignment horizontal="center" vertical="center"/>
    </xf>
    <xf numFmtId="0" fontId="12" fillId="0" borderId="0" xfId="0" applyFont="1" applyBorder="1"/>
    <xf numFmtId="4" fontId="183" fillId="0" borderId="384" xfId="0" applyNumberFormat="1" applyFont="1" applyBorder="1" applyAlignment="1">
      <alignment vertical="center"/>
    </xf>
    <xf numFmtId="0" fontId="183" fillId="0" borderId="384" xfId="0" applyFont="1" applyBorder="1" applyAlignment="1">
      <alignment horizontal="center" vertical="center"/>
    </xf>
    <xf numFmtId="0" fontId="183" fillId="0" borderId="384" xfId="0" applyFont="1" applyBorder="1" applyAlignment="1">
      <alignment vertical="center"/>
    </xf>
    <xf numFmtId="1" fontId="162" fillId="0" borderId="0" xfId="1023" applyNumberFormat="1" applyFont="1" applyFill="1" applyBorder="1" applyAlignment="1">
      <alignment horizontal="center" vertical="center"/>
    </xf>
    <xf numFmtId="43" fontId="162" fillId="0" borderId="0" xfId="1023" applyFont="1" applyFill="1" applyBorder="1" applyAlignment="1">
      <alignment vertical="center"/>
    </xf>
    <xf numFmtId="1" fontId="214" fillId="0" borderId="0" xfId="1023" applyNumberFormat="1" applyFont="1" applyFill="1" applyBorder="1" applyAlignment="1">
      <alignment horizontal="left" vertical="center"/>
    </xf>
    <xf numFmtId="43" fontId="214" fillId="0" borderId="0" xfId="1023" applyFont="1" applyFill="1" applyBorder="1" applyAlignment="1">
      <alignment vertical="center"/>
    </xf>
    <xf numFmtId="43" fontId="162" fillId="57" borderId="70" xfId="1023" applyFont="1" applyFill="1" applyBorder="1" applyAlignment="1">
      <alignment horizontal="center" vertical="center"/>
    </xf>
    <xf numFmtId="43" fontId="162" fillId="57" borderId="82" xfId="1023" applyFont="1" applyFill="1" applyBorder="1" applyAlignment="1">
      <alignment horizontal="center" vertical="center"/>
    </xf>
    <xf numFmtId="43" fontId="162" fillId="57" borderId="36" xfId="1023" applyFont="1" applyFill="1" applyBorder="1" applyAlignment="1">
      <alignment horizontal="center" vertical="center"/>
    </xf>
    <xf numFmtId="43" fontId="162" fillId="57" borderId="83" xfId="1023" applyFont="1" applyFill="1" applyBorder="1" applyAlignment="1">
      <alignment horizontal="center" vertical="center"/>
    </xf>
    <xf numFmtId="1" fontId="162" fillId="0" borderId="395" xfId="1023" applyNumberFormat="1" applyFont="1" applyFill="1" applyBorder="1" applyAlignment="1">
      <alignment horizontal="center" vertical="center"/>
    </xf>
    <xf numFmtId="43" fontId="162" fillId="0" borderId="165" xfId="1023" applyFont="1" applyFill="1" applyBorder="1" applyAlignment="1">
      <alignment vertical="center"/>
    </xf>
    <xf numFmtId="43" fontId="162" fillId="0" borderId="52" xfId="1023" applyFont="1" applyFill="1" applyBorder="1" applyAlignment="1">
      <alignment vertical="center"/>
    </xf>
    <xf numFmtId="43" fontId="162" fillId="0" borderId="37" xfId="1023" applyFont="1" applyFill="1" applyBorder="1" applyAlignment="1">
      <alignment vertical="center"/>
    </xf>
    <xf numFmtId="43" fontId="162" fillId="0" borderId="165" xfId="1023" applyFont="1" applyFill="1" applyBorder="1" applyAlignment="1">
      <alignment horizontal="center" vertical="center"/>
    </xf>
    <xf numFmtId="43" fontId="162" fillId="0" borderId="325" xfId="1023" applyFont="1" applyFill="1" applyBorder="1" applyAlignment="1">
      <alignment vertical="center"/>
    </xf>
    <xf numFmtId="1" fontId="162" fillId="0" borderId="396" xfId="1023" applyNumberFormat="1" applyFont="1" applyFill="1" applyBorder="1" applyAlignment="1">
      <alignment horizontal="center" vertical="center"/>
    </xf>
    <xf numFmtId="43" fontId="162" fillId="0" borderId="383" xfId="1023" applyFont="1" applyFill="1" applyBorder="1" applyAlignment="1">
      <alignment vertical="center"/>
    </xf>
    <xf numFmtId="43" fontId="214" fillId="0" borderId="384" xfId="1023" applyFont="1" applyFill="1" applyBorder="1" applyAlignment="1">
      <alignment vertical="center"/>
    </xf>
    <xf numFmtId="43" fontId="162" fillId="0" borderId="384" xfId="1023" applyFont="1" applyFill="1" applyBorder="1" applyAlignment="1">
      <alignment vertical="center"/>
    </xf>
    <xf numFmtId="43" fontId="162" fillId="0" borderId="383" xfId="1023" applyFont="1" applyFill="1" applyBorder="1" applyAlignment="1">
      <alignment horizontal="center" vertical="center"/>
    </xf>
    <xf numFmtId="43" fontId="162" fillId="0" borderId="388" xfId="1023" applyFont="1" applyFill="1" applyBorder="1" applyAlignment="1">
      <alignment vertical="center"/>
    </xf>
    <xf numFmtId="43" fontId="162" fillId="0" borderId="313" xfId="1023" applyFont="1" applyFill="1" applyBorder="1" applyAlignment="1">
      <alignment vertical="center"/>
    </xf>
    <xf numFmtId="43" fontId="162" fillId="0" borderId="398" xfId="1023" applyFont="1" applyFill="1" applyBorder="1" applyAlignment="1">
      <alignment vertical="center"/>
    </xf>
    <xf numFmtId="43" fontId="162" fillId="0" borderId="333" xfId="1023" applyFont="1" applyFill="1" applyBorder="1" applyAlignment="1">
      <alignment horizontal="center" vertical="center"/>
    </xf>
    <xf numFmtId="43" fontId="162" fillId="0" borderId="333" xfId="1023" applyFont="1" applyFill="1" applyBorder="1" applyAlignment="1">
      <alignment vertical="center"/>
    </xf>
    <xf numFmtId="43" fontId="162" fillId="0" borderId="403" xfId="1023" applyFont="1" applyFill="1" applyBorder="1" applyAlignment="1">
      <alignment vertical="center"/>
    </xf>
    <xf numFmtId="1" fontId="162" fillId="0" borderId="405" xfId="1023" applyNumberFormat="1" applyFont="1" applyFill="1" applyBorder="1" applyAlignment="1">
      <alignment horizontal="center" vertical="center"/>
    </xf>
    <xf numFmtId="43" fontId="162" fillId="0" borderId="389" xfId="1023" applyFont="1" applyFill="1" applyBorder="1" applyAlignment="1">
      <alignment vertical="center"/>
    </xf>
    <xf numFmtId="43" fontId="162" fillId="0" borderId="349" xfId="1023" applyFont="1" applyFill="1" applyBorder="1" applyAlignment="1">
      <alignment vertical="center"/>
    </xf>
    <xf numFmtId="43" fontId="162" fillId="0" borderId="42" xfId="1023" applyFont="1" applyFill="1" applyBorder="1" applyAlignment="1">
      <alignment vertical="center"/>
    </xf>
    <xf numFmtId="43" fontId="162" fillId="0" borderId="36" xfId="1023" applyFont="1" applyFill="1" applyBorder="1" applyAlignment="1">
      <alignment vertical="center"/>
    </xf>
    <xf numFmtId="43" fontId="162" fillId="0" borderId="32" xfId="1023" applyFont="1" applyFill="1" applyBorder="1" applyAlignment="1">
      <alignment horizontal="center" vertical="center"/>
    </xf>
    <xf numFmtId="43" fontId="162" fillId="0" borderId="32" xfId="1023" applyFont="1" applyFill="1" applyBorder="1" applyAlignment="1">
      <alignment vertical="center"/>
    </xf>
    <xf numFmtId="43" fontId="162" fillId="0" borderId="83" xfId="1023" applyFont="1" applyFill="1" applyBorder="1" applyAlignment="1">
      <alignment vertical="center"/>
    </xf>
    <xf numFmtId="43" fontId="162" fillId="0" borderId="166" xfId="1023" applyFont="1" applyFill="1" applyBorder="1" applyAlignment="1">
      <alignment vertical="center"/>
    </xf>
    <xf numFmtId="0" fontId="194" fillId="0" borderId="387" xfId="0" applyFont="1" applyFill="1" applyBorder="1" applyAlignment="1">
      <alignment horizontal="center" vertical="center"/>
    </xf>
    <xf numFmtId="0" fontId="194" fillId="0" borderId="383" xfId="0" applyFont="1" applyFill="1" applyBorder="1" applyAlignment="1">
      <alignment horizontal="center" vertical="center"/>
    </xf>
    <xf numFmtId="0" fontId="194" fillId="0" borderId="384" xfId="0" applyFont="1" applyFill="1" applyBorder="1" applyAlignment="1">
      <alignment horizontal="left" vertical="center"/>
    </xf>
    <xf numFmtId="0" fontId="186" fillId="0" borderId="387" xfId="0" applyFont="1" applyBorder="1" applyAlignment="1">
      <alignment horizontal="center" vertical="center"/>
    </xf>
    <xf numFmtId="0" fontId="186" fillId="0" borderId="383" xfId="0" applyFont="1" applyFill="1" applyBorder="1" applyAlignment="1">
      <alignment horizontal="centerContinuous" vertical="center"/>
    </xf>
    <xf numFmtId="0" fontId="186" fillId="0" borderId="384" xfId="0" applyFont="1" applyFill="1" applyBorder="1" applyAlignment="1">
      <alignment horizontal="left" vertical="center"/>
    </xf>
    <xf numFmtId="0" fontId="186" fillId="0" borderId="384" xfId="0" applyFont="1" applyFill="1" applyBorder="1" applyAlignment="1">
      <alignment horizontal="centerContinuous" vertical="center"/>
    </xf>
    <xf numFmtId="43" fontId="186" fillId="0" borderId="385" xfId="786" applyFont="1" applyFill="1" applyBorder="1" applyAlignment="1">
      <alignment vertical="center"/>
    </xf>
    <xf numFmtId="43" fontId="186" fillId="0" borderId="385" xfId="786" applyFont="1" applyBorder="1" applyAlignment="1">
      <alignment horizontal="center" vertical="center"/>
    </xf>
    <xf numFmtId="179" fontId="186" fillId="0" borderId="388" xfId="0" applyNumberFormat="1" applyFont="1" applyBorder="1" applyAlignment="1">
      <alignment vertical="center"/>
    </xf>
    <xf numFmtId="0" fontId="186" fillId="0" borderId="283" xfId="0" applyFont="1" applyBorder="1" applyAlignment="1">
      <alignment horizontal="center" vertical="center"/>
    </xf>
    <xf numFmtId="0" fontId="186" fillId="0" borderId="284" xfId="0" applyFont="1" applyFill="1" applyBorder="1" applyAlignment="1">
      <alignment horizontal="centerContinuous" vertical="center"/>
    </xf>
    <xf numFmtId="0" fontId="186" fillId="0" borderId="227" xfId="0" applyFont="1" applyFill="1" applyBorder="1" applyAlignment="1">
      <alignment horizontal="centerContinuous" vertical="center"/>
    </xf>
    <xf numFmtId="0" fontId="186" fillId="0" borderId="0" xfId="0" applyFont="1" applyBorder="1"/>
    <xf numFmtId="0" fontId="186" fillId="0" borderId="386" xfId="0" applyFont="1" applyBorder="1" applyAlignment="1">
      <alignment horizontal="left" vertical="center"/>
    </xf>
    <xf numFmtId="0" fontId="186" fillId="0" borderId="313" xfId="0" applyFont="1" applyFill="1" applyBorder="1" applyAlignment="1">
      <alignment horizontal="centerContinuous" vertical="center"/>
    </xf>
    <xf numFmtId="43" fontId="186" fillId="0" borderId="333" xfId="786" applyFont="1" applyFill="1" applyBorder="1" applyAlignment="1">
      <alignment vertical="center"/>
    </xf>
    <xf numFmtId="43" fontId="186" fillId="0" borderId="398" xfId="786" applyFont="1" applyBorder="1" applyAlignment="1">
      <alignment horizontal="center" vertical="center"/>
    </xf>
    <xf numFmtId="179" fontId="186" fillId="0" borderId="403" xfId="0" applyNumberFormat="1" applyFont="1" applyBorder="1" applyAlignment="1">
      <alignment vertical="center"/>
    </xf>
    <xf numFmtId="0" fontId="186" fillId="0" borderId="391" xfId="0" applyFont="1" applyBorder="1" applyAlignment="1">
      <alignment horizontal="center" vertical="center"/>
    </xf>
    <xf numFmtId="0" fontId="186" fillId="0" borderId="389" xfId="0" applyFont="1" applyFill="1" applyBorder="1" applyAlignment="1">
      <alignment horizontal="centerContinuous" vertical="center"/>
    </xf>
    <xf numFmtId="0" fontId="186" fillId="0" borderId="349" xfId="0" applyFont="1" applyFill="1" applyBorder="1" applyAlignment="1">
      <alignment horizontal="left" vertical="center"/>
    </xf>
    <xf numFmtId="0" fontId="186" fillId="0" borderId="42" xfId="0" applyFont="1" applyFill="1" applyBorder="1" applyAlignment="1">
      <alignment horizontal="left" vertical="center"/>
    </xf>
    <xf numFmtId="43" fontId="186" fillId="0" borderId="32" xfId="786" applyFont="1" applyBorder="1" applyAlignment="1">
      <alignment vertical="center"/>
    </xf>
    <xf numFmtId="43" fontId="186" fillId="0" borderId="36" xfId="786" applyFont="1" applyBorder="1" applyAlignment="1">
      <alignment horizontal="center" vertical="center"/>
    </xf>
    <xf numFmtId="0" fontId="195" fillId="0" borderId="32" xfId="0" applyFont="1" applyBorder="1"/>
    <xf numFmtId="179" fontId="186" fillId="0" borderId="83" xfId="0" applyNumberFormat="1" applyFont="1" applyBorder="1" applyAlignment="1">
      <alignment vertical="center"/>
    </xf>
    <xf numFmtId="0" fontId="186" fillId="0" borderId="323" xfId="0" applyFont="1" applyBorder="1" applyAlignment="1">
      <alignment horizontal="center" vertical="center"/>
    </xf>
    <xf numFmtId="0" fontId="186" fillId="0" borderId="165" xfId="0" applyFont="1" applyFill="1" applyBorder="1" applyAlignment="1">
      <alignment horizontal="centerContinuous" vertical="center"/>
    </xf>
    <xf numFmtId="0" fontId="186" fillId="0" borderId="52" xfId="0" applyFont="1" applyFill="1" applyBorder="1" applyAlignment="1">
      <alignment horizontal="left" vertical="center"/>
    </xf>
    <xf numFmtId="43" fontId="186" fillId="0" borderId="165" xfId="786" applyFont="1" applyBorder="1" applyAlignment="1">
      <alignment vertical="center"/>
    </xf>
    <xf numFmtId="43" fontId="186" fillId="0" borderId="165" xfId="786" applyFont="1" applyBorder="1" applyAlignment="1">
      <alignment horizontal="center" vertical="center"/>
    </xf>
    <xf numFmtId="0" fontId="195" fillId="0" borderId="165" xfId="0" applyFont="1" applyBorder="1"/>
    <xf numFmtId="179" fontId="186" fillId="0" borderId="325" xfId="0" applyNumberFormat="1" applyFont="1" applyBorder="1" applyAlignment="1">
      <alignment vertical="center"/>
    </xf>
    <xf numFmtId="0" fontId="214" fillId="0" borderId="387" xfId="0" applyFont="1" applyBorder="1" applyAlignment="1">
      <alignment horizontal="center" vertical="center"/>
    </xf>
    <xf numFmtId="0" fontId="214" fillId="0" borderId="383" xfId="0" applyFont="1" applyBorder="1" applyAlignment="1">
      <alignment horizontal="center" vertical="center"/>
    </xf>
    <xf numFmtId="0" fontId="214" fillId="0" borderId="384" xfId="0" applyFont="1" applyBorder="1" applyAlignment="1">
      <alignment horizontal="left" vertical="center"/>
    </xf>
    <xf numFmtId="0" fontId="214" fillId="0" borderId="384" xfId="0" applyFont="1" applyBorder="1" applyAlignment="1">
      <alignment horizontal="center" vertical="center"/>
    </xf>
    <xf numFmtId="43" fontId="162" fillId="0" borderId="385" xfId="1023" applyFont="1" applyFill="1" applyBorder="1" applyAlignment="1">
      <alignment horizontal="center" vertical="center"/>
    </xf>
    <xf numFmtId="0" fontId="162" fillId="0" borderId="387" xfId="0" applyFont="1" applyBorder="1" applyAlignment="1">
      <alignment horizontal="center" vertical="center"/>
    </xf>
    <xf numFmtId="0" fontId="162" fillId="0" borderId="384" xfId="0" applyFont="1" applyBorder="1" applyAlignment="1">
      <alignment horizontal="left" vertical="center"/>
    </xf>
    <xf numFmtId="0" fontId="162" fillId="0" borderId="384" xfId="0" applyFont="1" applyBorder="1" applyAlignment="1">
      <alignment horizontal="center" vertical="center"/>
    </xf>
    <xf numFmtId="43" fontId="162" fillId="0" borderId="232" xfId="1023" applyFont="1" applyFill="1" applyBorder="1" applyAlignment="1">
      <alignment vertical="center"/>
    </xf>
    <xf numFmtId="0" fontId="162" fillId="0" borderId="385" xfId="0" applyFont="1" applyBorder="1" applyAlignment="1">
      <alignment horizontal="center" vertical="center"/>
    </xf>
    <xf numFmtId="179" fontId="162" fillId="0" borderId="388" xfId="0" applyNumberFormat="1" applyFont="1" applyBorder="1" applyAlignment="1">
      <alignment vertical="center"/>
    </xf>
    <xf numFmtId="0" fontId="162" fillId="0" borderId="384" xfId="1495" applyFont="1" applyBorder="1" applyAlignment="1">
      <alignment horizontal="left"/>
    </xf>
    <xf numFmtId="0" fontId="162" fillId="0" borderId="384" xfId="1495" applyFont="1" applyBorder="1"/>
    <xf numFmtId="0" fontId="214" fillId="0" borderId="384" xfId="1495" applyFont="1" applyBorder="1"/>
    <xf numFmtId="43" fontId="162" fillId="0" borderId="385" xfId="1023" applyFont="1" applyBorder="1" applyAlignment="1">
      <alignment vertical="center"/>
    </xf>
    <xf numFmtId="0" fontId="162" fillId="0" borderId="283" xfId="0" applyFont="1" applyBorder="1" applyAlignment="1">
      <alignment horizontal="center" vertical="center"/>
    </xf>
    <xf numFmtId="0" fontId="214" fillId="0" borderId="284" xfId="0" applyFont="1" applyBorder="1" applyAlignment="1">
      <alignment horizontal="center" vertical="center"/>
    </xf>
    <xf numFmtId="4" fontId="162" fillId="0" borderId="385" xfId="857" applyNumberFormat="1" applyFont="1" applyFill="1" applyBorder="1" applyAlignment="1">
      <alignment horizontal="center"/>
    </xf>
    <xf numFmtId="43" fontId="162" fillId="0" borderId="385" xfId="1023" applyFont="1" applyFill="1" applyBorder="1" applyAlignment="1">
      <alignment horizontal="right" vertical="center" wrapText="1"/>
    </xf>
    <xf numFmtId="43" fontId="162" fillId="0" borderId="385" xfId="1495" applyNumberFormat="1" applyFont="1" applyBorder="1"/>
    <xf numFmtId="179" fontId="162" fillId="0" borderId="286" xfId="0" applyNumberFormat="1" applyFont="1" applyBorder="1" applyAlignment="1">
      <alignment vertical="center"/>
    </xf>
    <xf numFmtId="0" fontId="162" fillId="0" borderId="227" xfId="1495" applyFont="1" applyBorder="1"/>
    <xf numFmtId="0" fontId="162" fillId="0" borderId="227" xfId="1495" applyFont="1" applyBorder="1" applyAlignment="1">
      <alignment horizontal="left"/>
    </xf>
    <xf numFmtId="0" fontId="162" fillId="0" borderId="313" xfId="1495" applyFont="1" applyBorder="1"/>
    <xf numFmtId="4" fontId="162" fillId="0" borderId="398" xfId="857" applyNumberFormat="1" applyFont="1" applyFill="1" applyBorder="1" applyAlignment="1">
      <alignment horizontal="center"/>
    </xf>
    <xf numFmtId="43" fontId="162" fillId="0" borderId="398" xfId="1495" applyNumberFormat="1" applyFont="1" applyBorder="1"/>
    <xf numFmtId="179" fontId="162" fillId="0" borderId="403" xfId="0" applyNumberFormat="1" applyFont="1" applyBorder="1" applyAlignment="1">
      <alignment vertical="center"/>
    </xf>
    <xf numFmtId="43" fontId="162" fillId="0" borderId="36" xfId="1023" applyFont="1" applyFill="1" applyBorder="1" applyAlignment="1">
      <alignment horizontal="center" vertical="center"/>
    </xf>
    <xf numFmtId="0" fontId="162" fillId="0" borderId="36" xfId="0" applyFont="1" applyBorder="1" applyAlignment="1">
      <alignment horizontal="center" vertical="center"/>
    </xf>
    <xf numFmtId="43" fontId="162" fillId="0" borderId="83" xfId="0" applyNumberFormat="1" applyFont="1" applyBorder="1" applyAlignment="1">
      <alignment horizontal="center" vertical="center"/>
    </xf>
    <xf numFmtId="1" fontId="214" fillId="0" borderId="396" xfId="1023" applyNumberFormat="1" applyFont="1" applyFill="1" applyBorder="1" applyAlignment="1">
      <alignment horizontal="center" vertical="center"/>
    </xf>
    <xf numFmtId="43" fontId="214" fillId="0" borderId="383" xfId="1023" applyFont="1" applyFill="1" applyBorder="1" applyAlignment="1">
      <alignment vertical="center"/>
    </xf>
    <xf numFmtId="43" fontId="162" fillId="0" borderId="386" xfId="1023" applyFont="1" applyFill="1" applyBorder="1" applyAlignment="1">
      <alignment vertical="center"/>
    </xf>
    <xf numFmtId="43" fontId="162" fillId="0" borderId="286" xfId="1023" applyFont="1" applyFill="1" applyBorder="1" applyAlignment="1">
      <alignment vertical="center"/>
    </xf>
    <xf numFmtId="0" fontId="162" fillId="0" borderId="232" xfId="0" applyFont="1" applyBorder="1" applyAlignment="1">
      <alignment horizontal="center" vertical="center"/>
    </xf>
    <xf numFmtId="43" fontId="162" fillId="0" borderId="382" xfId="786" applyFont="1" applyBorder="1"/>
    <xf numFmtId="43" fontId="162" fillId="0" borderId="390" xfId="1023" applyFont="1" applyFill="1" applyBorder="1" applyAlignment="1">
      <alignment vertical="center"/>
    </xf>
    <xf numFmtId="43" fontId="162" fillId="0" borderId="382" xfId="1023" applyFont="1" applyFill="1" applyBorder="1" applyAlignment="1">
      <alignment vertical="center"/>
    </xf>
    <xf numFmtId="1" fontId="162" fillId="0" borderId="397" xfId="1023" applyNumberFormat="1" applyFont="1" applyFill="1" applyBorder="1" applyAlignment="1">
      <alignment horizontal="center" vertical="center"/>
    </xf>
    <xf numFmtId="43" fontId="162" fillId="0" borderId="355" xfId="1023" applyFont="1" applyFill="1" applyBorder="1" applyAlignment="1">
      <alignment vertical="center"/>
    </xf>
    <xf numFmtId="43" fontId="162" fillId="0" borderId="91" xfId="1023" applyFont="1" applyFill="1" applyBorder="1" applyAlignment="1">
      <alignment vertical="center"/>
    </xf>
    <xf numFmtId="43" fontId="162" fillId="0" borderId="92" xfId="1023" applyFont="1" applyFill="1" applyBorder="1" applyAlignment="1">
      <alignment vertical="center"/>
    </xf>
    <xf numFmtId="43" fontId="162" fillId="0" borderId="0" xfId="1023" applyFont="1" applyFill="1" applyBorder="1" applyAlignment="1">
      <alignment horizontal="center" vertical="center"/>
    </xf>
    <xf numFmtId="43" fontId="162" fillId="0" borderId="227" xfId="1023" applyFont="1" applyFill="1" applyBorder="1" applyAlignment="1">
      <alignment vertical="center"/>
    </xf>
    <xf numFmtId="43" fontId="162" fillId="0" borderId="97" xfId="1023" applyFont="1" applyFill="1" applyBorder="1" applyAlignment="1">
      <alignment vertical="center"/>
    </xf>
    <xf numFmtId="43" fontId="162" fillId="0" borderId="311" xfId="1023" applyFont="1" applyFill="1" applyBorder="1" applyAlignment="1">
      <alignment vertical="center"/>
    </xf>
    <xf numFmtId="43" fontId="162" fillId="0" borderId="399" xfId="1023" applyFont="1" applyFill="1" applyBorder="1" applyAlignment="1">
      <alignment vertical="center"/>
    </xf>
    <xf numFmtId="1" fontId="162" fillId="0" borderId="400" xfId="1023" applyNumberFormat="1" applyFont="1" applyFill="1" applyBorder="1" applyAlignment="1">
      <alignment horizontal="center" vertical="center"/>
    </xf>
    <xf numFmtId="43" fontId="162" fillId="0" borderId="284" xfId="1023" applyFont="1" applyFill="1" applyBorder="1" applyAlignment="1">
      <alignment vertical="center"/>
    </xf>
    <xf numFmtId="43" fontId="162" fillId="0" borderId="285" xfId="1023" applyFont="1" applyFill="1" applyBorder="1" applyAlignment="1">
      <alignment vertical="center"/>
    </xf>
    <xf numFmtId="43" fontId="162" fillId="0" borderId="284" xfId="1023" applyFont="1" applyFill="1" applyBorder="1" applyAlignment="1">
      <alignment horizontal="center" vertical="center"/>
    </xf>
    <xf numFmtId="4" fontId="186" fillId="0" borderId="384" xfId="0" applyNumberFormat="1" applyFont="1" applyBorder="1" applyAlignment="1">
      <alignment vertical="center"/>
    </xf>
    <xf numFmtId="43" fontId="162" fillId="0" borderId="401" xfId="1023" applyFont="1" applyFill="1" applyBorder="1" applyAlignment="1">
      <alignment vertical="center"/>
    </xf>
    <xf numFmtId="43" fontId="162" fillId="0" borderId="402" xfId="1023" applyFont="1" applyFill="1" applyBorder="1" applyAlignment="1">
      <alignment vertical="center"/>
    </xf>
    <xf numFmtId="0" fontId="194" fillId="0" borderId="387" xfId="0" applyFont="1" applyBorder="1" applyAlignment="1">
      <alignment horizontal="center" vertical="center"/>
    </xf>
    <xf numFmtId="0" fontId="194" fillId="0" borderId="384" xfId="0" applyFont="1" applyBorder="1" applyAlignment="1">
      <alignment vertical="center"/>
    </xf>
    <xf numFmtId="4" fontId="194" fillId="0" borderId="384" xfId="0" applyNumberFormat="1" applyFont="1" applyBorder="1" applyAlignment="1">
      <alignment vertical="center"/>
    </xf>
    <xf numFmtId="43" fontId="162" fillId="0" borderId="234" xfId="1023" applyFont="1" applyFill="1" applyBorder="1" applyAlignment="1">
      <alignment vertical="center"/>
    </xf>
    <xf numFmtId="0" fontId="186" fillId="0" borderId="384" xfId="0" applyFont="1" applyBorder="1" applyAlignment="1">
      <alignment horizontal="center" vertical="center"/>
    </xf>
    <xf numFmtId="0" fontId="186" fillId="0" borderId="384" xfId="0" applyFont="1" applyBorder="1" applyAlignment="1">
      <alignment vertical="center"/>
    </xf>
    <xf numFmtId="43" fontId="186" fillId="0" borderId="383" xfId="786" applyFont="1" applyBorder="1" applyAlignment="1">
      <alignment vertical="center"/>
    </xf>
    <xf numFmtId="179" fontId="186" fillId="0" borderId="166" xfId="0" applyNumberFormat="1" applyFont="1" applyBorder="1" applyAlignment="1">
      <alignment vertical="center"/>
    </xf>
    <xf numFmtId="179" fontId="186" fillId="0" borderId="385" xfId="0" applyNumberFormat="1" applyFont="1" applyBorder="1" applyAlignment="1">
      <alignment horizontal="center" vertical="center"/>
    </xf>
    <xf numFmtId="179" fontId="186" fillId="0" borderId="385" xfId="0" applyNumberFormat="1" applyFont="1" applyBorder="1" applyAlignment="1">
      <alignment vertical="center"/>
    </xf>
    <xf numFmtId="179" fontId="186" fillId="0" borderId="382" xfId="0" applyNumberFormat="1" applyFont="1" applyBorder="1" applyAlignment="1">
      <alignment vertical="center"/>
    </xf>
    <xf numFmtId="179" fontId="186" fillId="0" borderId="390" xfId="0" applyNumberFormat="1" applyFont="1" applyBorder="1" applyAlignment="1">
      <alignment vertical="center"/>
    </xf>
    <xf numFmtId="43" fontId="162" fillId="0" borderId="406" xfId="1023" applyFont="1" applyFill="1" applyBorder="1" applyAlignment="1">
      <alignment vertical="center"/>
    </xf>
    <xf numFmtId="43" fontId="162" fillId="0" borderId="407" xfId="1023" applyFont="1" applyFill="1" applyBorder="1" applyAlignment="1">
      <alignment vertical="center"/>
    </xf>
    <xf numFmtId="43" fontId="162" fillId="0" borderId="408" xfId="1023" applyFont="1" applyFill="1" applyBorder="1" applyAlignment="1">
      <alignment vertical="center"/>
    </xf>
    <xf numFmtId="43" fontId="162" fillId="0" borderId="404" xfId="1023" applyFont="1" applyFill="1" applyBorder="1" applyAlignment="1">
      <alignment vertical="center"/>
    </xf>
    <xf numFmtId="43" fontId="162" fillId="0" borderId="90" xfId="1023" applyFont="1" applyFill="1" applyBorder="1" applyAlignment="1">
      <alignment vertical="center"/>
    </xf>
    <xf numFmtId="43" fontId="162" fillId="0" borderId="49" xfId="1023" applyFont="1" applyFill="1" applyBorder="1" applyAlignment="1">
      <alignment horizontal="center" vertical="center"/>
    </xf>
    <xf numFmtId="43" fontId="162" fillId="0" borderId="171" xfId="1023" applyFont="1" applyFill="1" applyBorder="1" applyAlignment="1">
      <alignment vertical="center"/>
    </xf>
    <xf numFmtId="0" fontId="162" fillId="0" borderId="0" xfId="0" applyFont="1"/>
    <xf numFmtId="0" fontId="163" fillId="0" borderId="0" xfId="0" applyFont="1"/>
    <xf numFmtId="0" fontId="178" fillId="0" borderId="0" xfId="0" applyFont="1" applyBorder="1" applyAlignment="1">
      <alignment horizontal="center" vertical="center"/>
    </xf>
    <xf numFmtId="0" fontId="177" fillId="0" borderId="0" xfId="0" applyFont="1" applyBorder="1" applyAlignment="1">
      <alignment horizontal="left" vertical="center"/>
    </xf>
    <xf numFmtId="43" fontId="178" fillId="0" borderId="0" xfId="1036" applyFont="1" applyBorder="1" applyAlignment="1">
      <alignment horizontal="left" vertical="center"/>
    </xf>
    <xf numFmtId="0" fontId="177" fillId="0" borderId="0" xfId="0" applyFont="1" applyAlignment="1">
      <alignment vertical="center"/>
    </xf>
    <xf numFmtId="0" fontId="177" fillId="0" borderId="0" xfId="0" applyFont="1" applyBorder="1" applyAlignment="1">
      <alignment vertical="center"/>
    </xf>
    <xf numFmtId="43" fontId="177" fillId="0" borderId="0" xfId="1036" applyFont="1" applyBorder="1" applyAlignment="1">
      <alignment vertical="center"/>
    </xf>
    <xf numFmtId="0" fontId="178" fillId="2" borderId="82" xfId="0" applyFont="1" applyFill="1" applyBorder="1" applyAlignment="1">
      <alignment horizontal="center" vertical="center"/>
    </xf>
    <xf numFmtId="0" fontId="178" fillId="2" borderId="92" xfId="0" applyFont="1" applyFill="1" applyBorder="1" applyAlignment="1">
      <alignment horizontal="center" vertical="center"/>
    </xf>
    <xf numFmtId="0" fontId="178" fillId="0" borderId="111" xfId="1556" applyFont="1" applyFill="1" applyBorder="1" applyAlignment="1">
      <alignment horizontal="center" vertical="center"/>
    </xf>
    <xf numFmtId="0" fontId="178" fillId="0" borderId="168" xfId="1556" applyFont="1" applyFill="1" applyBorder="1" applyAlignment="1">
      <alignment horizontal="left" vertical="center"/>
    </xf>
    <xf numFmtId="0" fontId="178" fillId="0" borderId="121" xfId="1556" applyFont="1" applyFill="1" applyBorder="1" applyAlignment="1">
      <alignment horizontal="left" vertical="center"/>
    </xf>
    <xf numFmtId="0" fontId="177" fillId="0" borderId="168" xfId="0" applyFont="1" applyBorder="1" applyAlignment="1">
      <alignment vertical="center"/>
    </xf>
    <xf numFmtId="0" fontId="177" fillId="0" borderId="113" xfId="0" applyFont="1" applyBorder="1" applyAlignment="1">
      <alignment vertical="center"/>
    </xf>
    <xf numFmtId="0" fontId="177" fillId="0" borderId="323" xfId="1556" applyFont="1" applyBorder="1" applyAlignment="1">
      <alignment horizontal="center" vertical="center"/>
    </xf>
    <xf numFmtId="43" fontId="177" fillId="0" borderId="52" xfId="786" applyFont="1" applyBorder="1" applyAlignment="1">
      <alignment vertical="center"/>
    </xf>
    <xf numFmtId="0" fontId="177" fillId="0" borderId="52" xfId="0" applyFont="1" applyBorder="1" applyAlignment="1">
      <alignment vertical="center"/>
    </xf>
    <xf numFmtId="43" fontId="177" fillId="0" borderId="325" xfId="0" applyNumberFormat="1" applyFont="1" applyBorder="1" applyAlignment="1">
      <alignment vertical="center"/>
    </xf>
    <xf numFmtId="0" fontId="177" fillId="0" borderId="387" xfId="1556" applyFont="1" applyBorder="1" applyAlignment="1">
      <alignment horizontal="center" vertical="center"/>
    </xf>
    <xf numFmtId="43" fontId="177" fillId="0" borderId="384" xfId="786" applyFont="1" applyBorder="1" applyAlignment="1">
      <alignment vertical="center"/>
    </xf>
    <xf numFmtId="0" fontId="177" fillId="0" borderId="384" xfId="0" applyFont="1" applyBorder="1" applyAlignment="1">
      <alignment vertical="center"/>
    </xf>
    <xf numFmtId="0" fontId="177" fillId="0" borderId="88" xfId="1556" applyFont="1" applyBorder="1" applyAlignment="1">
      <alignment horizontal="center" vertical="center"/>
    </xf>
    <xf numFmtId="43" fontId="177" fillId="0" borderId="0" xfId="786" applyFont="1" applyBorder="1" applyAlignment="1">
      <alignment vertical="center"/>
    </xf>
    <xf numFmtId="0" fontId="177" fillId="0" borderId="227" xfId="0" applyFont="1" applyBorder="1" applyAlignment="1">
      <alignment vertical="center"/>
    </xf>
    <xf numFmtId="179" fontId="177" fillId="0" borderId="286" xfId="0" applyNumberFormat="1" applyFont="1" applyBorder="1" applyAlignment="1">
      <alignment vertical="center"/>
    </xf>
    <xf numFmtId="179" fontId="177" fillId="0" borderId="113" xfId="0" applyNumberFormat="1" applyFont="1" applyBorder="1" applyAlignment="1">
      <alignment vertical="center"/>
    </xf>
    <xf numFmtId="43" fontId="177" fillId="0" borderId="227" xfId="786" applyFont="1" applyBorder="1" applyAlignment="1">
      <alignment vertical="center"/>
    </xf>
    <xf numFmtId="43" fontId="177" fillId="0" borderId="388" xfId="0" applyNumberFormat="1" applyFont="1" applyBorder="1" applyAlignment="1">
      <alignment vertical="center"/>
    </xf>
    <xf numFmtId="0" fontId="177" fillId="0" borderId="312" xfId="1556" applyFont="1" applyBorder="1" applyAlignment="1">
      <alignment horizontal="center" vertical="center"/>
    </xf>
    <xf numFmtId="43" fontId="177" fillId="0" borderId="313" xfId="786" applyFont="1" applyBorder="1" applyAlignment="1">
      <alignment vertical="center"/>
    </xf>
    <xf numFmtId="0" fontId="177" fillId="0" borderId="313" xfId="0" applyFont="1" applyBorder="1" applyAlignment="1">
      <alignment vertical="center"/>
    </xf>
    <xf numFmtId="43" fontId="177" fillId="0" borderId="403" xfId="0" applyNumberFormat="1" applyFont="1" applyBorder="1" applyAlignment="1">
      <alignment vertical="center"/>
    </xf>
    <xf numFmtId="0" fontId="177" fillId="0" borderId="409" xfId="1556" applyFont="1" applyBorder="1" applyAlignment="1">
      <alignment horizontal="center" vertical="center"/>
    </xf>
    <xf numFmtId="43" fontId="177" fillId="0" borderId="43" xfId="786" applyFont="1" applyBorder="1" applyAlignment="1">
      <alignment vertical="center"/>
    </xf>
    <xf numFmtId="43" fontId="177" fillId="0" borderId="201" xfId="786" applyFont="1" applyBorder="1" applyAlignment="1">
      <alignment vertical="center"/>
    </xf>
    <xf numFmtId="0" fontId="178" fillId="0" borderId="44" xfId="1556" applyFont="1" applyBorder="1" applyAlignment="1">
      <alignment horizontal="left" vertical="center"/>
    </xf>
    <xf numFmtId="0" fontId="177" fillId="0" borderId="201" xfId="0" applyFont="1" applyBorder="1" applyAlignment="1">
      <alignment vertical="center"/>
    </xf>
    <xf numFmtId="43" fontId="177" fillId="0" borderId="107" xfId="786" applyFont="1" applyBorder="1" applyAlignment="1">
      <alignment vertical="center"/>
    </xf>
    <xf numFmtId="0" fontId="177" fillId="0" borderId="396" xfId="1556" applyFont="1" applyBorder="1" applyAlignment="1">
      <alignment horizontal="center" vertical="center"/>
    </xf>
    <xf numFmtId="43" fontId="177" fillId="0" borderId="383" xfId="786" applyFont="1" applyBorder="1" applyAlignment="1">
      <alignment vertical="center"/>
    </xf>
    <xf numFmtId="0" fontId="178" fillId="0" borderId="384" xfId="1556" applyFont="1" applyBorder="1" applyAlignment="1">
      <alignment horizontal="left" vertical="center"/>
    </xf>
    <xf numFmtId="43" fontId="177" fillId="0" borderId="388" xfId="786" applyFont="1" applyBorder="1" applyAlignment="1">
      <alignment vertical="center"/>
    </xf>
    <xf numFmtId="0" fontId="177" fillId="0" borderId="405" xfId="1556" applyFont="1" applyBorder="1" applyAlignment="1">
      <alignment horizontal="center" vertical="center"/>
    </xf>
    <xf numFmtId="43" fontId="177" fillId="0" borderId="389" xfId="786" applyFont="1" applyBorder="1" applyAlignment="1">
      <alignment vertical="center"/>
    </xf>
    <xf numFmtId="43" fontId="177" fillId="0" borderId="349" xfId="786" applyFont="1" applyBorder="1" applyAlignment="1">
      <alignment vertical="center"/>
    </xf>
    <xf numFmtId="0" fontId="178" fillId="0" borderId="349" xfId="1556" applyFont="1" applyBorder="1" applyAlignment="1">
      <alignment horizontal="left" vertical="center"/>
    </xf>
    <xf numFmtId="0" fontId="177" fillId="0" borderId="349" xfId="0" applyFont="1" applyBorder="1" applyAlignment="1">
      <alignment vertical="center"/>
    </xf>
    <xf numFmtId="43" fontId="177" fillId="0" borderId="390" xfId="786" applyFont="1" applyBorder="1" applyAlignment="1">
      <alignment vertical="center"/>
    </xf>
    <xf numFmtId="0" fontId="177" fillId="2" borderId="170" xfId="1556" applyFont="1" applyFill="1" applyBorder="1" applyAlignment="1">
      <alignment vertical="center"/>
    </xf>
    <xf numFmtId="0" fontId="177" fillId="2" borderId="104" xfId="1556" applyFont="1" applyFill="1" applyBorder="1" applyAlignment="1">
      <alignment vertical="center"/>
    </xf>
    <xf numFmtId="0" fontId="177" fillId="2" borderId="274" xfId="1556" applyFont="1" applyFill="1" applyBorder="1" applyAlignment="1">
      <alignment vertical="center"/>
    </xf>
    <xf numFmtId="0" fontId="178" fillId="2" borderId="274" xfId="1556" applyFont="1" applyFill="1" applyBorder="1" applyAlignment="1">
      <alignment horizontal="left" vertical="center"/>
    </xf>
    <xf numFmtId="0" fontId="177" fillId="2" borderId="274" xfId="0" applyFont="1" applyFill="1" applyBorder="1" applyAlignment="1">
      <alignment vertical="center"/>
    </xf>
    <xf numFmtId="0" fontId="177" fillId="0" borderId="169" xfId="0" applyFont="1" applyBorder="1" applyAlignment="1">
      <alignment vertical="center"/>
    </xf>
    <xf numFmtId="0" fontId="177" fillId="0" borderId="50" xfId="0" applyFont="1" applyBorder="1" applyAlignment="1">
      <alignment vertical="center"/>
    </xf>
    <xf numFmtId="0" fontId="218" fillId="0" borderId="50" xfId="0" applyFont="1" applyBorder="1" applyAlignment="1">
      <alignment horizontal="left" vertical="center"/>
    </xf>
    <xf numFmtId="0" fontId="218" fillId="0" borderId="50" xfId="0" applyFont="1" applyBorder="1" applyAlignment="1">
      <alignment horizontal="center" vertical="center"/>
    </xf>
    <xf numFmtId="0" fontId="218" fillId="0" borderId="50" xfId="0" applyFont="1" applyBorder="1" applyAlignment="1">
      <alignment vertical="center"/>
    </xf>
    <xf numFmtId="0" fontId="177" fillId="0" borderId="171" xfId="0" applyFont="1" applyBorder="1" applyAlignment="1">
      <alignment vertical="center"/>
    </xf>
    <xf numFmtId="0" fontId="177" fillId="0" borderId="0" xfId="0" applyFont="1" applyAlignment="1">
      <alignment horizontal="center"/>
    </xf>
    <xf numFmtId="0" fontId="177" fillId="0" borderId="0" xfId="0" applyFont="1" applyAlignment="1">
      <alignment horizontal="left"/>
    </xf>
    <xf numFmtId="0" fontId="186" fillId="0" borderId="0" xfId="0" applyFont="1"/>
    <xf numFmtId="0" fontId="196" fillId="0" borderId="0" xfId="0" applyFont="1" applyAlignment="1">
      <alignment horizontal="center" vertical="center"/>
    </xf>
    <xf numFmtId="0" fontId="186" fillId="0" borderId="0" xfId="0" applyFont="1" applyAlignment="1">
      <alignment horizontal="center" vertical="center"/>
    </xf>
    <xf numFmtId="43" fontId="162" fillId="0" borderId="0" xfId="1023" applyFont="1" applyFill="1" applyBorder="1" applyAlignment="1">
      <alignment horizontal="center" vertical="center"/>
    </xf>
    <xf numFmtId="0" fontId="186" fillId="0" borderId="383" xfId="0" applyFont="1" applyFill="1" applyBorder="1" applyAlignment="1">
      <alignment horizontal="center" vertical="center"/>
    </xf>
    <xf numFmtId="0" fontId="186" fillId="0" borderId="384" xfId="0" applyFont="1" applyFill="1" applyBorder="1" applyAlignment="1">
      <alignment horizontal="center" vertical="center"/>
    </xf>
    <xf numFmtId="0" fontId="0" fillId="57" borderId="36" xfId="0" applyFill="1" applyBorder="1" applyAlignment="1">
      <alignment horizontal="center"/>
    </xf>
    <xf numFmtId="0" fontId="18" fillId="57" borderId="83" xfId="0" applyFont="1" applyFill="1" applyBorder="1" applyAlignment="1">
      <alignment horizontal="center"/>
    </xf>
    <xf numFmtId="1" fontId="162" fillId="0" borderId="183" xfId="1023" applyNumberFormat="1" applyFont="1" applyFill="1" applyBorder="1" applyAlignment="1">
      <alignment horizontal="center" vertical="center"/>
    </xf>
    <xf numFmtId="43" fontId="162" fillId="0" borderId="37" xfId="1023" applyFont="1" applyFill="1" applyBorder="1" applyAlignment="1">
      <alignment horizontal="center" vertical="center"/>
    </xf>
    <xf numFmtId="0" fontId="0" fillId="0" borderId="410" xfId="0" applyBorder="1"/>
    <xf numFmtId="1" fontId="162" fillId="0" borderId="387" xfId="1023" applyNumberFormat="1" applyFont="1" applyFill="1" applyBorder="1" applyAlignment="1">
      <alignment horizontal="center" vertical="center"/>
    </xf>
    <xf numFmtId="0" fontId="0" fillId="0" borderId="388" xfId="0" applyBorder="1"/>
    <xf numFmtId="43" fontId="186" fillId="0" borderId="385" xfId="786" applyFont="1" applyBorder="1" applyAlignment="1">
      <alignment vertical="center"/>
    </xf>
    <xf numFmtId="1" fontId="214" fillId="0" borderId="387" xfId="1023" applyNumberFormat="1" applyFont="1" applyFill="1" applyBorder="1" applyAlignment="1">
      <alignment horizontal="center" vertical="center"/>
    </xf>
    <xf numFmtId="1" fontId="162" fillId="0" borderId="330" xfId="1023" applyNumberFormat="1" applyFont="1" applyFill="1" applyBorder="1" applyAlignment="1">
      <alignment horizontal="center" vertical="center"/>
    </xf>
    <xf numFmtId="43" fontId="162" fillId="0" borderId="398" xfId="1023" applyFont="1" applyFill="1" applyBorder="1" applyAlignment="1">
      <alignment horizontal="center" vertical="center"/>
    </xf>
    <xf numFmtId="0" fontId="0" fillId="0" borderId="398" xfId="0" applyBorder="1"/>
    <xf numFmtId="0" fontId="0" fillId="0" borderId="403" xfId="0" applyBorder="1"/>
    <xf numFmtId="43" fontId="162" fillId="0" borderId="47" xfId="1023" applyFont="1" applyFill="1" applyBorder="1" applyAlignment="1">
      <alignment vertical="center"/>
    </xf>
    <xf numFmtId="43" fontId="162" fillId="0" borderId="46" xfId="1023" applyFont="1" applyFill="1" applyBorder="1" applyAlignment="1">
      <alignment vertical="center"/>
    </xf>
    <xf numFmtId="43" fontId="162" fillId="0" borderId="359" xfId="1023" applyFont="1" applyFill="1" applyBorder="1" applyAlignment="1">
      <alignment vertical="center"/>
    </xf>
    <xf numFmtId="0" fontId="186" fillId="0" borderId="386" xfId="0" applyFont="1" applyFill="1" applyBorder="1" applyAlignment="1">
      <alignment horizontal="center" vertical="center"/>
    </xf>
    <xf numFmtId="0" fontId="186" fillId="0" borderId="383" xfId="0" applyFont="1" applyBorder="1"/>
    <xf numFmtId="0" fontId="186" fillId="0" borderId="384" xfId="0" applyFont="1" applyBorder="1" applyAlignment="1">
      <alignment horizontal="left" vertical="center"/>
    </xf>
    <xf numFmtId="0" fontId="186" fillId="0" borderId="386" xfId="0" applyFont="1" applyFill="1" applyBorder="1" applyAlignment="1">
      <alignment horizontal="left" vertical="center"/>
    </xf>
    <xf numFmtId="0" fontId="214" fillId="0" borderId="386" xfId="0" applyFont="1" applyBorder="1" applyAlignment="1">
      <alignment horizontal="center" vertical="center"/>
    </xf>
    <xf numFmtId="0" fontId="162" fillId="0" borderId="386" xfId="0" applyFont="1" applyBorder="1" applyAlignment="1">
      <alignment horizontal="left" vertical="center"/>
    </xf>
    <xf numFmtId="0" fontId="214" fillId="0" borderId="386" xfId="1495" applyFont="1" applyBorder="1"/>
    <xf numFmtId="0" fontId="162" fillId="0" borderId="386" xfId="1495" applyFont="1" applyBorder="1"/>
    <xf numFmtId="41" fontId="187" fillId="0" borderId="384" xfId="803" applyFont="1" applyFill="1" applyBorder="1" applyProtection="1"/>
    <xf numFmtId="0" fontId="194" fillId="0" borderId="383" xfId="0" applyFont="1" applyBorder="1" applyAlignment="1">
      <alignment vertical="center"/>
    </xf>
    <xf numFmtId="0" fontId="186" fillId="0" borderId="383" xfId="0" applyFont="1" applyBorder="1" applyAlignment="1">
      <alignment horizontal="center" vertical="center"/>
    </xf>
    <xf numFmtId="0" fontId="186" fillId="0" borderId="386" xfId="0" applyFont="1" applyBorder="1" applyAlignment="1">
      <alignment vertical="center"/>
    </xf>
    <xf numFmtId="0" fontId="0" fillId="56" borderId="385" xfId="0" applyFill="1" applyBorder="1"/>
    <xf numFmtId="0" fontId="0" fillId="56" borderId="388" xfId="0" applyFill="1" applyBorder="1"/>
    <xf numFmtId="0" fontId="160" fillId="0" borderId="411" xfId="0" applyFont="1" applyFill="1" applyBorder="1" applyAlignment="1">
      <alignment horizontal="center"/>
    </xf>
    <xf numFmtId="0" fontId="5" fillId="0" borderId="413" xfId="0" applyFont="1" applyFill="1" applyBorder="1" applyAlignment="1">
      <alignment horizontal="left" vertical="center"/>
    </xf>
    <xf numFmtId="0" fontId="173" fillId="0" borderId="414" xfId="0" applyFont="1" applyBorder="1" applyAlignment="1">
      <alignment vertical="center"/>
    </xf>
    <xf numFmtId="0" fontId="173" fillId="0" borderId="384" xfId="1853" applyFont="1" applyBorder="1" applyAlignment="1">
      <alignment vertical="center"/>
    </xf>
    <xf numFmtId="0" fontId="160" fillId="0" borderId="423" xfId="0" applyFont="1" applyFill="1" applyBorder="1" applyAlignment="1">
      <alignment horizontal="center" vertical="center"/>
    </xf>
    <xf numFmtId="0" fontId="160" fillId="0" borderId="424" xfId="0" applyFont="1" applyFill="1" applyBorder="1" applyAlignment="1">
      <alignment horizontal="center" vertical="center"/>
    </xf>
    <xf numFmtId="0" fontId="160" fillId="0" borderId="425" xfId="0" applyFont="1" applyFill="1" applyBorder="1" applyAlignment="1">
      <alignment horizontal="center" vertical="center"/>
    </xf>
    <xf numFmtId="0" fontId="160" fillId="0" borderId="239" xfId="1621" applyFont="1" applyFill="1" applyBorder="1" applyAlignment="1" applyProtection="1">
      <alignment horizontal="center" vertical="center"/>
    </xf>
    <xf numFmtId="41" fontId="160" fillId="0" borderId="249" xfId="803" applyFont="1" applyFill="1" applyBorder="1" applyAlignment="1" applyProtection="1">
      <alignment vertical="center"/>
    </xf>
    <xf numFmtId="0" fontId="160" fillId="0" borderId="249" xfId="1621" applyFont="1" applyFill="1" applyBorder="1" applyAlignment="1" applyProtection="1">
      <alignment horizontal="center" vertical="center"/>
    </xf>
    <xf numFmtId="0" fontId="160" fillId="0" borderId="437" xfId="1621" applyFont="1" applyFill="1" applyBorder="1" applyAlignment="1" applyProtection="1">
      <alignment horizontal="center" vertical="center"/>
    </xf>
    <xf numFmtId="0" fontId="179" fillId="0" borderId="0" xfId="0" applyFont="1" applyAlignment="1">
      <alignment horizontal="center" vertical="center"/>
    </xf>
    <xf numFmtId="0" fontId="179" fillId="0" borderId="0" xfId="0" applyFont="1" applyAlignment="1">
      <alignment vertical="center" wrapText="1"/>
    </xf>
    <xf numFmtId="0" fontId="179" fillId="0" borderId="0" xfId="0" applyFont="1" applyAlignment="1">
      <alignment vertical="center"/>
    </xf>
    <xf numFmtId="0" fontId="189" fillId="54" borderId="111" xfId="1531" applyFont="1" applyFill="1" applyBorder="1" applyAlignment="1">
      <alignment horizontal="center" vertical="center"/>
    </xf>
    <xf numFmtId="0" fontId="189" fillId="54" borderId="113" xfId="1531" applyFont="1" applyFill="1" applyBorder="1" applyAlignment="1">
      <alignment horizontal="center" vertical="center"/>
    </xf>
    <xf numFmtId="0" fontId="179" fillId="54" borderId="114" xfId="1531" applyFont="1" applyFill="1" applyBorder="1" applyAlignment="1">
      <alignment horizontal="center" vertical="center"/>
    </xf>
    <xf numFmtId="0" fontId="221" fillId="54" borderId="115" xfId="1531" applyFont="1" applyFill="1" applyBorder="1" applyAlignment="1">
      <alignment horizontal="center" vertical="center"/>
    </xf>
    <xf numFmtId="0" fontId="163" fillId="0" borderId="105" xfId="0" applyFont="1" applyBorder="1"/>
    <xf numFmtId="0" fontId="163" fillId="0" borderId="43" xfId="0" applyFont="1" applyBorder="1"/>
    <xf numFmtId="0" fontId="163" fillId="0" borderId="201" xfId="0" applyFont="1" applyBorder="1"/>
    <xf numFmtId="0" fontId="163" fillId="0" borderId="44" xfId="0" applyFont="1" applyBorder="1"/>
    <xf numFmtId="0" fontId="163" fillId="0" borderId="107" xfId="0" applyFont="1" applyBorder="1"/>
    <xf numFmtId="0" fontId="163" fillId="0" borderId="84" xfId="0" applyFont="1" applyBorder="1" applyAlignment="1">
      <alignment horizontal="center"/>
    </xf>
    <xf numFmtId="0" fontId="219" fillId="0" borderId="272" xfId="0" applyFont="1" applyBorder="1"/>
    <xf numFmtId="0" fontId="219" fillId="0" borderId="255" xfId="0" applyFont="1" applyBorder="1"/>
    <xf numFmtId="0" fontId="163" fillId="0" borderId="273" xfId="0" applyFont="1" applyBorder="1"/>
    <xf numFmtId="0" fontId="163" fillId="0" borderId="193" xfId="0" applyFont="1" applyBorder="1"/>
    <xf numFmtId="0" fontId="163" fillId="0" borderId="272" xfId="0" applyFont="1" applyBorder="1"/>
    <xf numFmtId="0" fontId="163" fillId="0" borderId="255" xfId="0" applyFont="1" applyBorder="1"/>
    <xf numFmtId="43" fontId="163" fillId="0" borderId="193" xfId="0" applyNumberFormat="1" applyFont="1" applyBorder="1"/>
    <xf numFmtId="43" fontId="163" fillId="0" borderId="255" xfId="0" applyNumberFormat="1" applyFont="1" applyBorder="1"/>
    <xf numFmtId="0" fontId="163" fillId="0" borderId="0" xfId="0" applyFont="1" applyBorder="1"/>
    <xf numFmtId="0" fontId="163" fillId="0" borderId="356" xfId="0" applyFont="1" applyBorder="1" applyAlignment="1">
      <alignment horizontal="center"/>
    </xf>
    <xf numFmtId="0" fontId="163" fillId="0" borderId="357" xfId="0" applyFont="1" applyBorder="1"/>
    <xf numFmtId="0" fontId="163" fillId="0" borderId="362" xfId="0" applyFont="1" applyBorder="1"/>
    <xf numFmtId="0" fontId="163" fillId="0" borderId="365" xfId="0" applyFont="1" applyBorder="1"/>
    <xf numFmtId="43" fontId="163" fillId="0" borderId="358" xfId="0" applyNumberFormat="1" applyFont="1" applyBorder="1"/>
    <xf numFmtId="0" fontId="163" fillId="0" borderId="358" xfId="0" applyFont="1" applyBorder="1"/>
    <xf numFmtId="0" fontId="219" fillId="0" borderId="273" xfId="0" applyFont="1" applyBorder="1"/>
    <xf numFmtId="0" fontId="163" fillId="0" borderId="0" xfId="0" applyFont="1" applyAlignment="1">
      <alignment horizontal="right"/>
    </xf>
    <xf numFmtId="0" fontId="163" fillId="0" borderId="371" xfId="0" applyFont="1" applyBorder="1"/>
    <xf numFmtId="0" fontId="163" fillId="0" borderId="151" xfId="0" applyFont="1" applyBorder="1" applyAlignment="1">
      <alignment horizontal="center"/>
    </xf>
    <xf numFmtId="0" fontId="163" fillId="0" borderId="383" xfId="0" applyFont="1" applyBorder="1"/>
    <xf numFmtId="43" fontId="163" fillId="0" borderId="384" xfId="0" applyNumberFormat="1" applyFont="1" applyBorder="1"/>
    <xf numFmtId="43" fontId="163" fillId="0" borderId="388" xfId="0" applyNumberFormat="1" applyFont="1" applyBorder="1"/>
    <xf numFmtId="0" fontId="163" fillId="0" borderId="244" xfId="0" applyFont="1" applyBorder="1" applyAlignment="1">
      <alignment horizontal="center"/>
    </xf>
    <xf numFmtId="0" fontId="163" fillId="0" borderId="230" xfId="0" applyFont="1" applyBorder="1"/>
    <xf numFmtId="0" fontId="163" fillId="0" borderId="227" xfId="0" applyFont="1" applyBorder="1"/>
    <xf numFmtId="0" fontId="163" fillId="0" borderId="231" xfId="0" applyFont="1" applyBorder="1"/>
    <xf numFmtId="43" fontId="163" fillId="0" borderId="236" xfId="0" applyNumberFormat="1" applyFont="1" applyBorder="1"/>
    <xf numFmtId="0" fontId="163" fillId="0" borderId="236" xfId="0" applyFont="1" applyBorder="1"/>
    <xf numFmtId="0" fontId="163" fillId="0" borderId="283" xfId="0" applyFont="1" applyBorder="1" applyAlignment="1">
      <alignment horizontal="center"/>
    </xf>
    <xf numFmtId="0" fontId="163" fillId="0" borderId="284" xfId="0" applyFont="1" applyBorder="1"/>
    <xf numFmtId="0" fontId="163" fillId="0" borderId="285" xfId="0" applyFont="1" applyBorder="1"/>
    <xf numFmtId="43" fontId="163" fillId="0" borderId="286" xfId="0" applyNumberFormat="1" applyFont="1" applyBorder="1"/>
    <xf numFmtId="0" fontId="163" fillId="0" borderId="244" xfId="0" applyFont="1" applyFill="1" applyBorder="1" applyAlignment="1">
      <alignment horizontal="center"/>
    </xf>
    <xf numFmtId="0" fontId="163" fillId="0" borderId="230" xfId="0" applyFont="1" applyFill="1" applyBorder="1"/>
    <xf numFmtId="0" fontId="163" fillId="0" borderId="227" xfId="0" applyFont="1" applyFill="1" applyBorder="1"/>
    <xf numFmtId="0" fontId="163" fillId="0" borderId="231" xfId="0" applyFont="1" applyFill="1" applyBorder="1"/>
    <xf numFmtId="43" fontId="163" fillId="0" borderId="236" xfId="0" applyNumberFormat="1" applyFont="1" applyFill="1" applyBorder="1"/>
    <xf numFmtId="0" fontId="163" fillId="0" borderId="277" xfId="0" applyFont="1" applyBorder="1" applyAlignment="1">
      <alignment horizontal="center"/>
    </xf>
    <xf numFmtId="0" fontId="163" fillId="0" borderId="278" xfId="0" applyFont="1" applyBorder="1"/>
    <xf numFmtId="0" fontId="163" fillId="0" borderId="275" xfId="0" applyFont="1" applyBorder="1"/>
    <xf numFmtId="0" fontId="163" fillId="0" borderId="279" xfId="0" applyFont="1" applyBorder="1"/>
    <xf numFmtId="0" fontId="163" fillId="0" borderId="280" xfId="0" applyFont="1" applyBorder="1"/>
    <xf numFmtId="0" fontId="163" fillId="0" borderId="0" xfId="0" applyFont="1" applyBorder="1" applyAlignment="1">
      <alignment horizontal="center"/>
    </xf>
    <xf numFmtId="43" fontId="163" fillId="0" borderId="193" xfId="0" applyNumberFormat="1" applyFont="1" applyFill="1" applyBorder="1"/>
    <xf numFmtId="0" fontId="163" fillId="0" borderId="334" xfId="0" applyFont="1" applyBorder="1"/>
    <xf numFmtId="0" fontId="163" fillId="0" borderId="337" xfId="0" applyFont="1" applyBorder="1"/>
    <xf numFmtId="43" fontId="163" fillId="0" borderId="230" xfId="0" applyNumberFormat="1" applyFont="1" applyBorder="1"/>
    <xf numFmtId="43" fontId="163" fillId="0" borderId="227" xfId="0" applyNumberFormat="1" applyFont="1" applyBorder="1"/>
    <xf numFmtId="43" fontId="163" fillId="0" borderId="284" xfId="0" applyNumberFormat="1" applyFont="1" applyBorder="1"/>
    <xf numFmtId="0" fontId="163" fillId="0" borderId="333" xfId="0" applyFont="1" applyBorder="1"/>
    <xf numFmtId="0" fontId="163" fillId="0" borderId="313" xfId="0" applyFont="1" applyBorder="1"/>
    <xf numFmtId="0" fontId="163" fillId="0" borderId="355" xfId="0" applyFont="1" applyBorder="1"/>
    <xf numFmtId="0" fontId="163" fillId="0" borderId="431" xfId="0" applyFont="1" applyBorder="1" applyAlignment="1">
      <alignment horizontal="center"/>
    </xf>
    <xf numFmtId="0" fontId="163" fillId="0" borderId="432" xfId="0" applyFont="1" applyBorder="1"/>
    <xf numFmtId="0" fontId="163" fillId="0" borderId="433" xfId="0" applyFont="1" applyBorder="1"/>
    <xf numFmtId="43" fontId="163" fillId="0" borderId="434" xfId="0" applyNumberFormat="1" applyFont="1" applyBorder="1"/>
    <xf numFmtId="43" fontId="163" fillId="0" borderId="236" xfId="786" applyFont="1" applyBorder="1"/>
    <xf numFmtId="43" fontId="163" fillId="0" borderId="286" xfId="786" applyFont="1" applyBorder="1"/>
    <xf numFmtId="43" fontId="163" fillId="0" borderId="434" xfId="786" applyFont="1" applyBorder="1"/>
    <xf numFmtId="0" fontId="163" fillId="0" borderId="434" xfId="0" applyFont="1" applyBorder="1"/>
    <xf numFmtId="0" fontId="163" fillId="0" borderId="312" xfId="0" applyFont="1" applyBorder="1" applyAlignment="1">
      <alignment horizontal="center"/>
    </xf>
    <xf numFmtId="0" fontId="163" fillId="0" borderId="439" xfId="0" applyFont="1" applyBorder="1"/>
    <xf numFmtId="0" fontId="165" fillId="0" borderId="164" xfId="0" applyFont="1" applyFill="1" applyBorder="1" applyAlignment="1">
      <alignment horizontal="center" vertical="center"/>
    </xf>
    <xf numFmtId="0" fontId="165" fillId="0" borderId="237" xfId="0" applyFont="1" applyFill="1" applyBorder="1" applyAlignment="1">
      <alignment horizontal="center" vertical="center"/>
    </xf>
    <xf numFmtId="43" fontId="165" fillId="0" borderId="238" xfId="786" applyFont="1" applyFill="1" applyBorder="1" applyAlignment="1">
      <alignment horizontal="center" vertical="center"/>
    </xf>
    <xf numFmtId="0" fontId="165" fillId="0" borderId="231" xfId="0" applyFont="1" applyFill="1" applyBorder="1" applyAlignment="1">
      <alignment horizontal="center" vertical="center"/>
    </xf>
    <xf numFmtId="0" fontId="165" fillId="0" borderId="240" xfId="0" applyFont="1" applyFill="1" applyBorder="1" applyAlignment="1">
      <alignment horizontal="center" vertical="center"/>
    </xf>
    <xf numFmtId="0" fontId="170" fillId="0" borderId="0" xfId="0" applyFont="1" applyAlignment="1">
      <alignment horizontal="center"/>
    </xf>
    <xf numFmtId="43" fontId="162" fillId="0" borderId="315" xfId="1023" applyFont="1" applyFill="1" applyBorder="1" applyAlignment="1">
      <alignment vertical="center"/>
    </xf>
    <xf numFmtId="41" fontId="160" fillId="0" borderId="264" xfId="803" applyFont="1" applyFill="1" applyBorder="1"/>
    <xf numFmtId="43" fontId="160" fillId="0" borderId="336" xfId="786" applyFont="1" applyFill="1" applyBorder="1" applyAlignment="1">
      <alignment horizontal="left" vertical="center" wrapText="1"/>
    </xf>
    <xf numFmtId="0" fontId="179" fillId="0" borderId="436" xfId="1815" applyFont="1" applyFill="1" applyBorder="1" applyAlignment="1">
      <alignment horizontal="center"/>
    </xf>
    <xf numFmtId="0" fontId="160" fillId="0" borderId="398" xfId="0" quotePrefix="1" applyFont="1" applyFill="1" applyBorder="1" applyAlignment="1">
      <alignment horizontal="center" vertical="center"/>
    </xf>
    <xf numFmtId="0" fontId="222" fillId="0" borderId="412" xfId="1621" applyFont="1" applyFill="1" applyBorder="1"/>
    <xf numFmtId="0" fontId="161" fillId="57" borderId="95" xfId="1621" applyFont="1" applyFill="1" applyBorder="1" applyAlignment="1" applyProtection="1">
      <alignment horizontal="center" vertical="center" wrapText="1"/>
    </xf>
    <xf numFmtId="41" fontId="161" fillId="57" borderId="70" xfId="803" applyFont="1" applyFill="1" applyBorder="1" applyAlignment="1" applyProtection="1">
      <alignment horizontal="center" vertical="center" wrapText="1"/>
    </xf>
    <xf numFmtId="0" fontId="161" fillId="57" borderId="70" xfId="1621" applyFont="1" applyFill="1" applyBorder="1" applyAlignment="1">
      <alignment horizontal="center" vertical="center" wrapText="1"/>
    </xf>
    <xf numFmtId="43" fontId="161" fillId="57" borderId="70" xfId="786" applyFont="1" applyFill="1" applyBorder="1" applyAlignment="1" applyProtection="1">
      <alignment horizontal="center" vertical="center" wrapText="1"/>
    </xf>
    <xf numFmtId="43" fontId="189" fillId="57" borderId="82" xfId="1101" applyFont="1" applyFill="1" applyBorder="1" applyAlignment="1">
      <alignment horizontal="center" vertical="center" wrapText="1"/>
    </xf>
    <xf numFmtId="0" fontId="166" fillId="57" borderId="99" xfId="1621" applyFont="1" applyFill="1" applyBorder="1" applyAlignment="1" applyProtection="1">
      <alignment horizontal="center" vertical="center" wrapText="1"/>
    </xf>
    <xf numFmtId="0" fontId="166" fillId="57" borderId="100" xfId="1621" applyFont="1" applyFill="1" applyBorder="1" applyAlignment="1" applyProtection="1">
      <alignment horizontal="center" vertical="center" wrapText="1"/>
    </xf>
    <xf numFmtId="43" fontId="166" fillId="57" borderId="100" xfId="786" applyFont="1" applyFill="1" applyBorder="1" applyAlignment="1">
      <alignment horizontal="center" vertical="center"/>
    </xf>
    <xf numFmtId="0" fontId="166" fillId="57" borderId="101" xfId="803" applyNumberFormat="1" applyFont="1" applyFill="1" applyBorder="1" applyAlignment="1">
      <alignment horizontal="center" vertical="center"/>
    </xf>
    <xf numFmtId="42" fontId="160" fillId="0" borderId="426" xfId="0" applyNumberFormat="1" applyFont="1" applyFill="1" applyBorder="1" applyAlignment="1">
      <alignment vertical="center"/>
    </xf>
    <xf numFmtId="43" fontId="160" fillId="0" borderId="427" xfId="786" applyFont="1" applyFill="1" applyBorder="1" applyAlignment="1">
      <alignment horizontal="left" vertical="center" wrapText="1"/>
    </xf>
    <xf numFmtId="41" fontId="160" fillId="0" borderId="428" xfId="803" applyFont="1" applyFill="1" applyBorder="1" applyProtection="1"/>
    <xf numFmtId="0" fontId="160" fillId="0" borderId="440" xfId="1621" applyFont="1" applyFill="1" applyBorder="1" applyAlignment="1" applyProtection="1">
      <alignment horizontal="center"/>
    </xf>
    <xf numFmtId="41" fontId="161" fillId="0" borderId="320" xfId="803" applyFont="1" applyFill="1" applyBorder="1"/>
    <xf numFmtId="0" fontId="163" fillId="0" borderId="320" xfId="0" applyFont="1" applyFill="1" applyBorder="1"/>
    <xf numFmtId="0" fontId="163" fillId="0" borderId="258" xfId="0" applyFont="1" applyFill="1" applyBorder="1"/>
    <xf numFmtId="0" fontId="160" fillId="0" borderId="423" xfId="1621" applyFont="1" applyFill="1" applyBorder="1" applyAlignment="1" applyProtection="1">
      <alignment horizontal="center"/>
    </xf>
    <xf numFmtId="0" fontId="179" fillId="0" borderId="412" xfId="0" applyFont="1" applyFill="1" applyBorder="1" applyAlignment="1">
      <alignment horizontal="left" vertical="center"/>
    </xf>
    <xf numFmtId="0" fontId="160" fillId="0" borderId="427" xfId="0" applyFont="1" applyFill="1" applyBorder="1" applyAlignment="1">
      <alignment horizontal="center"/>
    </xf>
    <xf numFmtId="0" fontId="160" fillId="0" borderId="437" xfId="0" applyFont="1" applyFill="1" applyBorder="1" applyAlignment="1">
      <alignment horizontal="center"/>
    </xf>
    <xf numFmtId="0" fontId="160" fillId="0" borderId="441" xfId="1621" applyFont="1" applyFill="1" applyBorder="1" applyAlignment="1" applyProtection="1">
      <alignment horizontal="center"/>
    </xf>
    <xf numFmtId="41" fontId="160" fillId="0" borderId="442" xfId="803" applyFont="1" applyFill="1" applyBorder="1"/>
    <xf numFmtId="0" fontId="160" fillId="0" borderId="442" xfId="0" applyFont="1" applyFill="1" applyBorder="1"/>
    <xf numFmtId="0" fontId="160" fillId="0" borderId="443" xfId="0" applyFont="1" applyFill="1" applyBorder="1"/>
    <xf numFmtId="0" fontId="160" fillId="0" borderId="320" xfId="0" applyFont="1" applyFill="1" applyBorder="1"/>
    <xf numFmtId="0" fontId="160" fillId="0" borderId="320" xfId="0" applyFont="1" applyFill="1" applyBorder="1" applyAlignment="1">
      <alignment horizontal="center"/>
    </xf>
    <xf numFmtId="0" fontId="160" fillId="0" borderId="258" xfId="0" applyFont="1" applyFill="1" applyBorder="1" applyAlignment="1">
      <alignment horizontal="center"/>
    </xf>
    <xf numFmtId="0" fontId="160" fillId="0" borderId="442" xfId="0" applyFont="1" applyFill="1" applyBorder="1" applyAlignment="1">
      <alignment horizontal="center"/>
    </xf>
    <xf numFmtId="0" fontId="160" fillId="0" borderId="443" xfId="0" applyFont="1" applyFill="1" applyBorder="1" applyAlignment="1">
      <alignment horizontal="center"/>
    </xf>
    <xf numFmtId="0" fontId="160" fillId="0" borderId="440" xfId="0" applyFont="1" applyFill="1" applyBorder="1"/>
    <xf numFmtId="0" fontId="160" fillId="0" borderId="320" xfId="1621" applyFont="1" applyFill="1" applyBorder="1" applyAlignment="1" applyProtection="1">
      <alignment horizontal="center"/>
    </xf>
    <xf numFmtId="41" fontId="161" fillId="0" borderId="320" xfId="803" applyFont="1" applyFill="1" applyBorder="1" applyProtection="1"/>
    <xf numFmtId="0" fontId="160" fillId="0" borderId="424" xfId="1621" applyFont="1" applyFill="1" applyBorder="1" applyAlignment="1" applyProtection="1">
      <alignment horizontal="center"/>
    </xf>
    <xf numFmtId="0" fontId="160" fillId="0" borderId="437" xfId="1621" applyFont="1" applyFill="1" applyBorder="1" applyAlignment="1" applyProtection="1">
      <alignment horizontal="center"/>
    </xf>
    <xf numFmtId="0" fontId="159" fillId="0" borderId="36" xfId="0" applyFont="1" applyFill="1" applyBorder="1" applyAlignment="1">
      <alignment horizontal="left" vertical="center"/>
    </xf>
    <xf numFmtId="41" fontId="160" fillId="0" borderId="424" xfId="803" applyFont="1" applyFill="1" applyBorder="1" applyProtection="1"/>
    <xf numFmtId="0" fontId="165" fillId="0" borderId="444" xfId="0" applyFont="1" applyFill="1" applyBorder="1" applyAlignment="1">
      <alignment vertical="center"/>
    </xf>
    <xf numFmtId="0" fontId="172" fillId="0" borderId="189" xfId="0" applyFont="1" applyBorder="1" applyAlignment="1">
      <alignment vertical="center"/>
    </xf>
    <xf numFmtId="197" fontId="173" fillId="0" borderId="51" xfId="1820" applyNumberFormat="1" applyFont="1" applyFill="1" applyBorder="1" applyAlignment="1">
      <alignment horizontal="center" vertical="center"/>
    </xf>
    <xf numFmtId="0" fontId="160" fillId="0" borderId="96" xfId="1621" applyFont="1" applyFill="1" applyBorder="1" applyAlignment="1" applyProtection="1">
      <alignment horizontal="center"/>
    </xf>
    <xf numFmtId="0" fontId="160" fillId="0" borderId="36" xfId="1621" applyFont="1" applyFill="1" applyBorder="1" applyAlignment="1" applyProtection="1">
      <alignment horizontal="center"/>
    </xf>
    <xf numFmtId="0" fontId="160" fillId="0" borderId="83" xfId="1621" applyFont="1" applyFill="1" applyBorder="1" applyAlignment="1" applyProtection="1">
      <alignment horizontal="center"/>
    </xf>
    <xf numFmtId="0" fontId="160" fillId="0" borderId="445" xfId="1621" applyFont="1" applyFill="1" applyBorder="1" applyAlignment="1" applyProtection="1">
      <alignment horizontal="center"/>
    </xf>
    <xf numFmtId="0" fontId="160" fillId="0" borderId="426" xfId="1621" applyFont="1" applyFill="1" applyBorder="1" applyAlignment="1" applyProtection="1">
      <alignment horizontal="center"/>
    </xf>
    <xf numFmtId="0" fontId="160" fillId="0" borderId="446" xfId="1621" applyFont="1" applyFill="1" applyBorder="1" applyAlignment="1" applyProtection="1">
      <alignment horizontal="center"/>
    </xf>
    <xf numFmtId="0" fontId="160" fillId="0" borderId="430" xfId="1621" applyFont="1" applyFill="1" applyBorder="1" applyAlignment="1" applyProtection="1">
      <alignment horizontal="center"/>
    </xf>
    <xf numFmtId="0" fontId="160" fillId="0" borderId="427" xfId="1621" applyFont="1" applyFill="1" applyBorder="1" applyAlignment="1" applyProtection="1">
      <alignment horizontal="center"/>
    </xf>
    <xf numFmtId="0" fontId="160" fillId="0" borderId="447" xfId="1621" applyFont="1" applyFill="1" applyBorder="1" applyAlignment="1" applyProtection="1">
      <alignment horizontal="center"/>
    </xf>
    <xf numFmtId="0" fontId="0" fillId="0" borderId="413" xfId="0" applyBorder="1"/>
    <xf numFmtId="0" fontId="0" fillId="56" borderId="413" xfId="0" applyFill="1" applyBorder="1"/>
    <xf numFmtId="0" fontId="160" fillId="0" borderId="455" xfId="1621" applyFont="1" applyFill="1" applyBorder="1" applyAlignment="1" applyProtection="1">
      <alignment horizontal="center"/>
    </xf>
    <xf numFmtId="0" fontId="160" fillId="0" borderId="437" xfId="1621" applyFont="1" applyFill="1" applyBorder="1" applyAlignment="1">
      <alignment horizontal="center"/>
    </xf>
    <xf numFmtId="0" fontId="201" fillId="0" borderId="0" xfId="0" applyFont="1" applyBorder="1"/>
    <xf numFmtId="43" fontId="206" fillId="51" borderId="0" xfId="0" applyNumberFormat="1" applyFont="1" applyFill="1" applyBorder="1" applyAlignment="1">
      <alignment horizontal="left" vertical="center"/>
    </xf>
    <xf numFmtId="0" fontId="171" fillId="0" borderId="244" xfId="0" applyFont="1" applyBorder="1" applyAlignment="1">
      <alignment horizontal="center" vertical="center"/>
    </xf>
    <xf numFmtId="0" fontId="171" fillId="0" borderId="285" xfId="0" applyFont="1" applyFill="1" applyBorder="1" applyAlignment="1">
      <alignment horizontal="center" vertical="center"/>
    </xf>
    <xf numFmtId="0" fontId="171" fillId="0" borderId="241" xfId="0" applyFont="1" applyBorder="1" applyAlignment="1">
      <alignment horizontal="center" vertical="center"/>
    </xf>
    <xf numFmtId="0" fontId="171" fillId="0" borderId="231" xfId="0" applyFont="1" applyFill="1" applyBorder="1" applyAlignment="1">
      <alignment horizontal="center" vertical="center"/>
    </xf>
    <xf numFmtId="41" fontId="203" fillId="0" borderId="427" xfId="803" applyFont="1" applyFill="1" applyBorder="1" applyProtection="1"/>
    <xf numFmtId="0" fontId="203" fillId="0" borderId="249" xfId="0" applyFont="1" applyFill="1" applyBorder="1" applyAlignment="1">
      <alignment horizontal="center"/>
    </xf>
    <xf numFmtId="0" fontId="203" fillId="0" borderId="254" xfId="0" applyFont="1" applyFill="1" applyBorder="1" applyAlignment="1">
      <alignment horizontal="center"/>
    </xf>
    <xf numFmtId="41" fontId="203" fillId="0" borderId="249" xfId="803" applyFont="1" applyFill="1" applyBorder="1" applyProtection="1"/>
    <xf numFmtId="0" fontId="203" fillId="0" borderId="370" xfId="0" applyFont="1" applyFill="1" applyBorder="1" applyAlignment="1">
      <alignment horizontal="center"/>
    </xf>
    <xf numFmtId="0" fontId="171" fillId="0" borderId="431" xfId="0" applyFont="1" applyBorder="1" applyAlignment="1">
      <alignment horizontal="center" vertical="center"/>
    </xf>
    <xf numFmtId="0" fontId="171" fillId="0" borderId="433" xfId="0" applyFont="1" applyFill="1" applyBorder="1" applyAlignment="1">
      <alignment horizontal="center" vertical="center"/>
    </xf>
    <xf numFmtId="43" fontId="162" fillId="0" borderId="434" xfId="1023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3" fontId="5" fillId="0" borderId="0" xfId="786" applyNumberFormat="1" applyFont="1" applyFill="1" applyAlignment="1">
      <alignment horizontal="center" vertical="center"/>
    </xf>
    <xf numFmtId="43" fontId="5" fillId="0" borderId="0" xfId="786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3" fontId="5" fillId="55" borderId="70" xfId="786" applyFont="1" applyFill="1" applyBorder="1" applyAlignment="1">
      <alignment horizontal="center"/>
    </xf>
    <xf numFmtId="43" fontId="5" fillId="55" borderId="36" xfId="786" applyFont="1" applyFill="1" applyBorder="1" applyAlignment="1">
      <alignment horizontal="center" vertical="top"/>
    </xf>
    <xf numFmtId="0" fontId="5" fillId="0" borderId="84" xfId="0" applyFont="1" applyFill="1" applyBorder="1" applyAlignment="1">
      <alignment horizontal="center" vertical="center"/>
    </xf>
    <xf numFmtId="43" fontId="224" fillId="0" borderId="34" xfId="786" applyFont="1" applyFill="1" applyBorder="1" applyAlignment="1">
      <alignment horizontal="left" vertical="center"/>
    </xf>
    <xf numFmtId="0" fontId="5" fillId="0" borderId="71" xfId="0" applyFont="1" applyFill="1" applyBorder="1" applyAlignment="1">
      <alignment horizontal="center" vertical="center"/>
    </xf>
    <xf numFmtId="173" fontId="5" fillId="0" borderId="71" xfId="786" applyNumberFormat="1" applyFont="1" applyFill="1" applyBorder="1" applyAlignment="1">
      <alignment horizontal="center" vertical="center"/>
    </xf>
    <xf numFmtId="43" fontId="5" fillId="0" borderId="71" xfId="786" applyFont="1" applyFill="1" applyBorder="1" applyAlignment="1">
      <alignment horizontal="center" vertical="center"/>
    </xf>
    <xf numFmtId="43" fontId="5" fillId="0" borderId="86" xfId="786" applyFont="1" applyFill="1" applyBorder="1" applyAlignment="1">
      <alignment vertical="center"/>
    </xf>
    <xf numFmtId="0" fontId="5" fillId="0" borderId="86" xfId="0" applyFont="1" applyFill="1" applyBorder="1" applyAlignment="1">
      <alignment horizontal="center" vertical="center"/>
    </xf>
    <xf numFmtId="173" fontId="5" fillId="0" borderId="86" xfId="786" applyNumberFormat="1" applyFont="1" applyFill="1" applyBorder="1" applyAlignment="1">
      <alignment horizontal="right" vertical="center"/>
    </xf>
    <xf numFmtId="43" fontId="5" fillId="0" borderId="86" xfId="786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173" fontId="5" fillId="0" borderId="79" xfId="786" applyNumberFormat="1" applyFont="1" applyFill="1" applyBorder="1" applyAlignment="1">
      <alignment horizontal="right" vertical="center"/>
    </xf>
    <xf numFmtId="43" fontId="5" fillId="0" borderId="79" xfId="786" applyFont="1" applyFill="1" applyBorder="1" applyAlignment="1">
      <alignment horizontal="right" vertical="center"/>
    </xf>
    <xf numFmtId="43" fontId="5" fillId="0" borderId="20" xfId="786" applyFont="1" applyFill="1" applyBorder="1" applyAlignment="1">
      <alignment horizontal="lef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73" fontId="5" fillId="0" borderId="67" xfId="0" applyNumberFormat="1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43" fontId="6" fillId="0" borderId="20" xfId="786" applyFont="1" applyFill="1" applyBorder="1" applyAlignment="1">
      <alignment horizontal="right" vertical="center"/>
    </xf>
    <xf numFmtId="43" fontId="224" fillId="0" borderId="86" xfId="786" applyFont="1" applyFill="1" applyBorder="1" applyAlignment="1">
      <alignment horizontal="left" vertical="center"/>
    </xf>
    <xf numFmtId="0" fontId="5" fillId="0" borderId="72" xfId="0" applyFont="1" applyFill="1" applyBorder="1" applyAlignment="1">
      <alignment horizontal="center" vertical="center"/>
    </xf>
    <xf numFmtId="173" fontId="5" fillId="0" borderId="72" xfId="786" applyNumberFormat="1" applyFont="1" applyFill="1" applyBorder="1" applyAlignment="1">
      <alignment horizontal="right" vertical="center"/>
    </xf>
    <xf numFmtId="43" fontId="5" fillId="0" borderId="72" xfId="786" applyFont="1" applyFill="1" applyBorder="1" applyAlignment="1">
      <alignment horizontal="right" vertical="center"/>
    </xf>
    <xf numFmtId="43" fontId="5" fillId="0" borderId="65" xfId="786" applyNumberFormat="1" applyFont="1" applyFill="1" applyBorder="1" applyAlignment="1">
      <alignment horizontal="center" vertical="center"/>
    </xf>
    <xf numFmtId="0" fontId="5" fillId="0" borderId="67" xfId="0" applyFont="1" applyBorder="1"/>
    <xf numFmtId="173" fontId="5" fillId="0" borderId="67" xfId="0" applyNumberFormat="1" applyFont="1" applyBorder="1"/>
    <xf numFmtId="0" fontId="5" fillId="0" borderId="66" xfId="0" applyFont="1" applyBorder="1"/>
    <xf numFmtId="43" fontId="5" fillId="0" borderId="20" xfId="786" applyFont="1" applyFill="1" applyBorder="1" applyAlignment="1">
      <alignment horizontal="right" vertical="center"/>
    </xf>
    <xf numFmtId="43" fontId="224" fillId="0" borderId="37" xfId="786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173" fontId="5" fillId="0" borderId="37" xfId="786" applyNumberFormat="1" applyFont="1" applyFill="1" applyBorder="1" applyAlignment="1">
      <alignment horizontal="right" vertical="center"/>
    </xf>
    <xf numFmtId="43" fontId="5" fillId="0" borderId="37" xfId="786" applyFont="1" applyFill="1" applyBorder="1" applyAlignment="1">
      <alignment horizontal="right" vertical="center"/>
    </xf>
    <xf numFmtId="43" fontId="5" fillId="0" borderId="86" xfId="786" applyFont="1" applyFill="1" applyBorder="1" applyAlignment="1">
      <alignment horizontal="left" vertical="center"/>
    </xf>
    <xf numFmtId="0" fontId="5" fillId="0" borderId="87" xfId="0" applyFont="1" applyBorder="1" applyAlignment="1">
      <alignment horizontal="center" vertical="center" wrapText="1"/>
    </xf>
    <xf numFmtId="173" fontId="5" fillId="0" borderId="74" xfId="786" applyNumberFormat="1" applyFont="1" applyFill="1" applyBorder="1" applyAlignment="1">
      <alignment horizontal="center" vertical="center" wrapText="1"/>
    </xf>
    <xf numFmtId="43" fontId="5" fillId="0" borderId="75" xfId="786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173" fontId="5" fillId="0" borderId="74" xfId="786" applyNumberFormat="1" applyFont="1" applyFill="1" applyBorder="1" applyAlignment="1">
      <alignment horizontal="center" vertical="center"/>
    </xf>
    <xf numFmtId="43" fontId="5" fillId="0" borderId="80" xfId="786" applyFont="1" applyFill="1" applyBorder="1" applyAlignment="1">
      <alignment horizontal="left" vertical="center"/>
    </xf>
    <xf numFmtId="0" fontId="5" fillId="0" borderId="80" xfId="0" applyFont="1" applyFill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73" fontId="5" fillId="0" borderId="77" xfId="786" applyNumberFormat="1" applyFont="1" applyFill="1" applyBorder="1" applyAlignment="1">
      <alignment horizontal="center" vertical="center"/>
    </xf>
    <xf numFmtId="43" fontId="5" fillId="0" borderId="71" xfId="786" applyFont="1" applyFill="1" applyBorder="1" applyAlignment="1">
      <alignment horizontal="right" vertical="center"/>
    </xf>
    <xf numFmtId="0" fontId="5" fillId="0" borderId="84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65" xfId="0" applyFont="1" applyBorder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173" fontId="5" fillId="0" borderId="0" xfId="786" applyNumberFormat="1" applyFont="1" applyFill="1" applyBorder="1" applyAlignment="1">
      <alignment horizontal="right" vertical="center"/>
    </xf>
    <xf numFmtId="43" fontId="5" fillId="0" borderId="68" xfId="786" applyFont="1" applyFill="1" applyBorder="1" applyAlignment="1">
      <alignment horizontal="right" vertical="center"/>
    </xf>
    <xf numFmtId="43" fontId="5" fillId="0" borderId="64" xfId="786" applyFont="1" applyFill="1" applyBorder="1" applyAlignment="1">
      <alignment horizontal="right" vertical="center"/>
    </xf>
    <xf numFmtId="0" fontId="5" fillId="0" borderId="40" xfId="0" applyFont="1" applyBorder="1" applyAlignment="1">
      <alignment vertical="center"/>
    </xf>
    <xf numFmtId="9" fontId="5" fillId="0" borderId="0" xfId="786" applyNumberFormat="1" applyFont="1" applyFill="1" applyBorder="1" applyAlignment="1">
      <alignment horizontal="right" vertical="center"/>
    </xf>
    <xf numFmtId="0" fontId="5" fillId="0" borderId="89" xfId="0" applyFont="1" applyFill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5" fillId="0" borderId="50" xfId="0" applyFont="1" applyFill="1" applyBorder="1" applyAlignment="1">
      <alignment horizontal="center" vertical="center"/>
    </xf>
    <xf numFmtId="173" fontId="5" fillId="0" borderId="50" xfId="786" applyNumberFormat="1" applyFont="1" applyFill="1" applyBorder="1" applyAlignment="1">
      <alignment horizontal="right" vertical="center"/>
    </xf>
    <xf numFmtId="43" fontId="5" fillId="0" borderId="90" xfId="786" applyFont="1" applyFill="1" applyBorder="1" applyAlignment="1">
      <alignment horizontal="right" vertical="center"/>
    </xf>
    <xf numFmtId="43" fontId="6" fillId="0" borderId="91" xfId="786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5" fillId="0" borderId="0" xfId="786" applyFont="1" applyFill="1" applyBorder="1" applyAlignment="1">
      <alignment horizontal="right" vertical="center"/>
    </xf>
    <xf numFmtId="43" fontId="6" fillId="0" borderId="0" xfId="786" applyFont="1" applyFill="1" applyBorder="1" applyAlignment="1">
      <alignment horizontal="right" vertical="center"/>
    </xf>
    <xf numFmtId="0" fontId="5" fillId="0" borderId="0" xfId="0" applyFont="1"/>
    <xf numFmtId="173" fontId="5" fillId="0" borderId="0" xfId="786" applyNumberFormat="1" applyFont="1" applyFill="1" applyBorder="1" applyAlignment="1">
      <alignment horizontal="center" vertical="center"/>
    </xf>
    <xf numFmtId="43" fontId="5" fillId="0" borderId="0" xfId="786" applyFont="1" applyFill="1" applyBorder="1" applyAlignment="1">
      <alignment horizontal="center" vertical="center"/>
    </xf>
    <xf numFmtId="173" fontId="5" fillId="0" borderId="37" xfId="786" applyNumberFormat="1" applyFont="1" applyFill="1" applyBorder="1" applyAlignment="1">
      <alignment horizontal="center" vertical="center"/>
    </xf>
    <xf numFmtId="197" fontId="18" fillId="0" borderId="345" xfId="1820" applyNumberFormat="1" applyFont="1" applyFill="1" applyBorder="1" applyAlignment="1">
      <alignment horizontal="center" vertical="center"/>
    </xf>
    <xf numFmtId="197" fontId="18" fillId="0" borderId="364" xfId="1820" applyNumberFormat="1" applyFont="1" applyFill="1" applyBorder="1" applyAlignment="1">
      <alignment horizontal="center" vertical="center"/>
    </xf>
    <xf numFmtId="43" fontId="5" fillId="0" borderId="0" xfId="786" applyFont="1" applyFill="1" applyBorder="1" applyAlignment="1">
      <alignment horizontal="left" vertical="center"/>
    </xf>
    <xf numFmtId="0" fontId="5" fillId="0" borderId="356" xfId="0" applyFont="1" applyFill="1" applyBorder="1" applyAlignment="1">
      <alignment horizontal="center" vertical="center"/>
    </xf>
    <xf numFmtId="0" fontId="18" fillId="0" borderId="363" xfId="0" applyFont="1" applyBorder="1" applyAlignment="1">
      <alignment horizontal="left" vertical="center"/>
    </xf>
    <xf numFmtId="0" fontId="18" fillId="0" borderId="366" xfId="0" applyFont="1" applyBorder="1" applyAlignment="1">
      <alignment horizontal="center" vertical="center"/>
    </xf>
    <xf numFmtId="197" fontId="18" fillId="0" borderId="366" xfId="1820" applyNumberFormat="1" applyFont="1" applyFill="1" applyBorder="1" applyAlignment="1">
      <alignment horizontal="center" vertical="center"/>
    </xf>
    <xf numFmtId="44" fontId="18" fillId="0" borderId="366" xfId="1816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3" xfId="0" applyFont="1" applyFill="1" applyBorder="1" applyAlignment="1">
      <alignment horizontal="center" vertical="center"/>
    </xf>
    <xf numFmtId="173" fontId="5" fillId="0" borderId="73" xfId="786" applyNumberFormat="1" applyFont="1" applyFill="1" applyBorder="1" applyAlignment="1">
      <alignment horizontal="right" vertical="center"/>
    </xf>
    <xf numFmtId="43" fontId="5" fillId="0" borderId="73" xfId="786" applyFont="1" applyFill="1" applyBorder="1" applyAlignment="1">
      <alignment horizontal="right" vertical="center"/>
    </xf>
    <xf numFmtId="0" fontId="5" fillId="0" borderId="109" xfId="0" applyFont="1" applyFill="1" applyBorder="1" applyAlignment="1">
      <alignment horizontal="center" vertical="center"/>
    </xf>
    <xf numFmtId="173" fontId="5" fillId="0" borderId="109" xfId="786" applyNumberFormat="1" applyFont="1" applyFill="1" applyBorder="1" applyAlignment="1">
      <alignment horizontal="right" vertical="center"/>
    </xf>
    <xf numFmtId="43" fontId="5" fillId="0" borderId="109" xfId="786" applyFont="1" applyFill="1" applyBorder="1" applyAlignment="1">
      <alignment horizontal="right" vertical="center"/>
    </xf>
    <xf numFmtId="0" fontId="5" fillId="0" borderId="125" xfId="0" applyFont="1" applyBorder="1" applyAlignment="1">
      <alignment horizontal="left" vertical="center"/>
    </xf>
    <xf numFmtId="0" fontId="5" fillId="0" borderId="126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 wrapText="1"/>
    </xf>
    <xf numFmtId="173" fontId="5" fillId="0" borderId="127" xfId="786" applyNumberFormat="1" applyFont="1" applyFill="1" applyBorder="1" applyAlignment="1">
      <alignment horizontal="center" vertical="center" wrapText="1"/>
    </xf>
    <xf numFmtId="0" fontId="18" fillId="0" borderId="94" xfId="0" applyFont="1" applyBorder="1"/>
    <xf numFmtId="173" fontId="18" fillId="0" borderId="0" xfId="0" applyNumberFormat="1" applyFont="1"/>
    <xf numFmtId="0" fontId="18" fillId="0" borderId="122" xfId="0" applyFont="1" applyBorder="1"/>
    <xf numFmtId="0" fontId="5" fillId="0" borderId="120" xfId="0" applyFont="1" applyBorder="1" applyAlignment="1">
      <alignment horizontal="left" vertical="center"/>
    </xf>
    <xf numFmtId="0" fontId="5" fillId="0" borderId="7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173" fontId="5" fillId="0" borderId="41" xfId="786" applyNumberFormat="1" applyFont="1" applyFill="1" applyBorder="1" applyAlignment="1">
      <alignment horizontal="center" vertical="center" wrapText="1"/>
    </xf>
    <xf numFmtId="43" fontId="5" fillId="0" borderId="80" xfId="786" applyFont="1" applyFill="1" applyBorder="1" applyAlignment="1">
      <alignment horizontal="right" vertical="center"/>
    </xf>
    <xf numFmtId="0" fontId="18" fillId="0" borderId="310" xfId="0" applyFont="1" applyBorder="1"/>
    <xf numFmtId="0" fontId="18" fillId="0" borderId="438" xfId="0" applyFont="1" applyBorder="1"/>
    <xf numFmtId="0" fontId="18" fillId="0" borderId="0" xfId="0" applyFont="1" applyBorder="1"/>
    <xf numFmtId="173" fontId="18" fillId="0" borderId="0" xfId="0" applyNumberFormat="1" applyFont="1" applyBorder="1"/>
    <xf numFmtId="0" fontId="18" fillId="0" borderId="49" xfId="0" applyFont="1" applyBorder="1"/>
    <xf numFmtId="0" fontId="18" fillId="0" borderId="90" xfId="0" applyFont="1" applyBorder="1"/>
    <xf numFmtId="0" fontId="18" fillId="0" borderId="50" xfId="0" applyFont="1" applyBorder="1"/>
    <xf numFmtId="173" fontId="18" fillId="0" borderId="50" xfId="0" applyNumberFormat="1" applyFont="1" applyBorder="1"/>
    <xf numFmtId="0" fontId="5" fillId="0" borderId="47" xfId="0" applyFont="1" applyFill="1" applyBorder="1" applyAlignment="1">
      <alignment horizontal="center" vertical="center"/>
    </xf>
    <xf numFmtId="173" fontId="5" fillId="0" borderId="47" xfId="786" applyNumberFormat="1" applyFont="1" applyFill="1" applyBorder="1" applyAlignment="1">
      <alignment horizontal="right" vertical="center"/>
    </xf>
    <xf numFmtId="0" fontId="5" fillId="0" borderId="94" xfId="0" applyFont="1" applyFill="1" applyBorder="1" applyAlignment="1">
      <alignment horizontal="center" vertical="center"/>
    </xf>
    <xf numFmtId="173" fontId="5" fillId="0" borderId="94" xfId="786" applyNumberFormat="1" applyFont="1" applyFill="1" applyBorder="1" applyAlignment="1">
      <alignment horizontal="right" vertical="center"/>
    </xf>
    <xf numFmtId="43" fontId="224" fillId="0" borderId="80" xfId="786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 vertical="center"/>
    </xf>
    <xf numFmtId="173" fontId="5" fillId="0" borderId="41" xfId="786" applyNumberFormat="1" applyFont="1" applyFill="1" applyBorder="1" applyAlignment="1">
      <alignment horizontal="right" vertical="center"/>
    </xf>
    <xf numFmtId="0" fontId="18" fillId="0" borderId="30" xfId="0" applyFont="1" applyBorder="1"/>
    <xf numFmtId="173" fontId="18" fillId="0" borderId="30" xfId="0" applyNumberFormat="1" applyFont="1" applyBorder="1"/>
    <xf numFmtId="43" fontId="18" fillId="0" borderId="30" xfId="786" applyFont="1" applyBorder="1"/>
    <xf numFmtId="43" fontId="18" fillId="0" borderId="0" xfId="786" applyFont="1" applyBorder="1"/>
    <xf numFmtId="173" fontId="5" fillId="0" borderId="87" xfId="786" applyNumberFormat="1" applyFont="1" applyFill="1" applyBorder="1" applyAlignment="1">
      <alignment horizontal="center" vertical="center" wrapText="1"/>
    </xf>
    <xf numFmtId="43" fontId="5" fillId="0" borderId="134" xfId="786" applyFont="1" applyFill="1" applyBorder="1" applyAlignment="1">
      <alignment horizontal="right" vertical="center"/>
    </xf>
    <xf numFmtId="0" fontId="5" fillId="0" borderId="129" xfId="0" applyFont="1" applyBorder="1" applyAlignment="1">
      <alignment horizontal="left" vertical="center"/>
    </xf>
    <xf numFmtId="0" fontId="5" fillId="0" borderId="132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 wrapText="1"/>
    </xf>
    <xf numFmtId="173" fontId="5" fillId="0" borderId="132" xfId="786" applyNumberFormat="1" applyFont="1" applyFill="1" applyBorder="1" applyAlignment="1">
      <alignment horizontal="center" vertical="center" wrapText="1"/>
    </xf>
    <xf numFmtId="43" fontId="5" fillId="0" borderId="130" xfId="786" applyFont="1" applyFill="1" applyBorder="1" applyAlignment="1">
      <alignment horizontal="right" vertical="center"/>
    </xf>
    <xf numFmtId="0" fontId="5" fillId="0" borderId="131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 wrapText="1"/>
    </xf>
    <xf numFmtId="173" fontId="5" fillId="0" borderId="131" xfId="786" applyNumberFormat="1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left" vertical="center"/>
    </xf>
    <xf numFmtId="0" fontId="5" fillId="0" borderId="136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 wrapText="1"/>
    </xf>
    <xf numFmtId="173" fontId="5" fillId="0" borderId="136" xfId="786" applyNumberFormat="1" applyFont="1" applyFill="1" applyBorder="1" applyAlignment="1">
      <alignment horizontal="center" vertical="center" wrapText="1"/>
    </xf>
    <xf numFmtId="0" fontId="5" fillId="0" borderId="137" xfId="0" applyFont="1" applyBorder="1" applyAlignment="1">
      <alignment horizontal="left" vertical="center"/>
    </xf>
    <xf numFmtId="43" fontId="224" fillId="0" borderId="139" xfId="786" applyFont="1" applyFill="1" applyBorder="1" applyAlignment="1">
      <alignment horizontal="left" vertical="center"/>
    </xf>
    <xf numFmtId="0" fontId="5" fillId="0" borderId="140" xfId="0" applyFont="1" applyFill="1" applyBorder="1" applyAlignment="1">
      <alignment horizontal="center" vertical="center"/>
    </xf>
    <xf numFmtId="0" fontId="5" fillId="0" borderId="142" xfId="0" applyFont="1" applyFill="1" applyBorder="1" applyAlignment="1">
      <alignment horizontal="center" vertical="center"/>
    </xf>
    <xf numFmtId="173" fontId="5" fillId="0" borderId="142" xfId="786" applyNumberFormat="1" applyFont="1" applyFill="1" applyBorder="1" applyAlignment="1">
      <alignment horizontal="right" vertical="center"/>
    </xf>
    <xf numFmtId="43" fontId="5" fillId="0" borderId="141" xfId="786" applyFont="1" applyFill="1" applyBorder="1" applyAlignment="1">
      <alignment horizontal="right" vertical="center"/>
    </xf>
    <xf numFmtId="43" fontId="30" fillId="57" borderId="372" xfId="786" applyFont="1" applyFill="1" applyBorder="1" applyAlignment="1">
      <alignment horizontal="center" vertical="center" wrapText="1"/>
    </xf>
    <xf numFmtId="43" fontId="30" fillId="57" borderId="373" xfId="786" applyFont="1" applyFill="1" applyBorder="1" applyAlignment="1">
      <alignment horizontal="center" vertical="center" wrapText="1"/>
    </xf>
    <xf numFmtId="43" fontId="30" fillId="57" borderId="374" xfId="786" applyFont="1" applyFill="1" applyBorder="1" applyAlignment="1">
      <alignment horizontal="center" vertical="center" wrapText="1"/>
    </xf>
    <xf numFmtId="43" fontId="30" fillId="0" borderId="300" xfId="786" applyFont="1" applyFill="1" applyBorder="1" applyAlignment="1">
      <alignment horizontal="center" vertical="center"/>
    </xf>
    <xf numFmtId="43" fontId="30" fillId="0" borderId="301" xfId="786" applyFont="1" applyFill="1" applyBorder="1" applyAlignment="1">
      <alignment horizontal="left" vertical="center"/>
    </xf>
    <xf numFmtId="43" fontId="29" fillId="0" borderId="301" xfId="786" applyFont="1" applyFill="1" applyBorder="1" applyAlignment="1">
      <alignment horizontal="left" vertical="center"/>
    </xf>
    <xf numFmtId="43" fontId="29" fillId="0" borderId="303" xfId="786" applyFont="1" applyFill="1" applyBorder="1" applyAlignment="1">
      <alignment horizontal="left" vertical="center"/>
    </xf>
    <xf numFmtId="43" fontId="29" fillId="0" borderId="335" xfId="786" applyFont="1" applyFill="1" applyBorder="1" applyAlignment="1">
      <alignment horizontal="center" vertical="center"/>
    </xf>
    <xf numFmtId="43" fontId="29" fillId="0" borderId="336" xfId="786" applyFont="1" applyFill="1" applyBorder="1" applyAlignment="1">
      <alignment horizontal="left" vertical="center"/>
    </xf>
    <xf numFmtId="43" fontId="29" fillId="0" borderId="336" xfId="786" applyFont="1" applyFill="1" applyBorder="1" applyAlignment="1">
      <alignment horizontal="center" vertical="center"/>
    </xf>
    <xf numFmtId="233" fontId="29" fillId="0" borderId="336" xfId="786" applyNumberFormat="1" applyFont="1" applyFill="1" applyBorder="1" applyAlignment="1">
      <alignment horizontal="center" vertical="center"/>
    </xf>
    <xf numFmtId="43" fontId="29" fillId="0" borderId="341" xfId="786" applyFont="1" applyFill="1" applyBorder="1" applyAlignment="1">
      <alignment horizontal="left" vertical="center"/>
    </xf>
    <xf numFmtId="43" fontId="29" fillId="0" borderId="375" xfId="786" applyFont="1" applyFill="1" applyBorder="1" applyAlignment="1">
      <alignment horizontal="center" vertical="center"/>
    </xf>
    <xf numFmtId="43" fontId="29" fillId="0" borderId="376" xfId="786" applyFont="1" applyFill="1" applyBorder="1" applyAlignment="1">
      <alignment horizontal="left" vertical="center"/>
    </xf>
    <xf numFmtId="43" fontId="29" fillId="0" borderId="376" xfId="786" applyFont="1" applyFill="1" applyBorder="1" applyAlignment="1">
      <alignment horizontal="center" vertical="center"/>
    </xf>
    <xf numFmtId="233" fontId="29" fillId="0" borderId="376" xfId="786" applyNumberFormat="1" applyFont="1" applyFill="1" applyBorder="1" applyAlignment="1">
      <alignment horizontal="center" vertical="center"/>
    </xf>
    <xf numFmtId="43" fontId="29" fillId="0" borderId="377" xfId="786" applyFont="1" applyFill="1" applyBorder="1" applyAlignment="1">
      <alignment horizontal="left" vertical="center"/>
    </xf>
    <xf numFmtId="43" fontId="29" fillId="0" borderId="53" xfId="786" applyFont="1" applyFill="1" applyBorder="1" applyAlignment="1">
      <alignment horizontal="center" vertical="center"/>
    </xf>
    <xf numFmtId="43" fontId="29" fillId="0" borderId="51" xfId="786" applyFont="1" applyFill="1" applyBorder="1" applyAlignment="1">
      <alignment horizontal="left" vertical="center"/>
    </xf>
    <xf numFmtId="43" fontId="30" fillId="0" borderId="54" xfId="786" applyFont="1" applyFill="1" applyBorder="1" applyAlignment="1">
      <alignment horizontal="left" vertical="center"/>
    </xf>
    <xf numFmtId="43" fontId="29" fillId="0" borderId="342" xfId="786" applyFont="1" applyFill="1" applyBorder="1" applyAlignment="1">
      <alignment horizontal="left" vertical="center"/>
    </xf>
    <xf numFmtId="43" fontId="29" fillId="0" borderId="300" xfId="786" applyFont="1" applyFill="1" applyBorder="1" applyAlignment="1">
      <alignment horizontal="left" vertical="center"/>
    </xf>
    <xf numFmtId="43" fontId="30" fillId="0" borderId="335" xfId="786" applyFont="1" applyFill="1" applyBorder="1" applyAlignment="1">
      <alignment horizontal="center" vertical="center"/>
    </xf>
    <xf numFmtId="43" fontId="29" fillId="0" borderId="336" xfId="786" applyFont="1" applyFill="1" applyBorder="1" applyAlignment="1">
      <alignment horizontal="left" vertical="center" wrapText="1"/>
    </xf>
    <xf numFmtId="233" fontId="29" fillId="0" borderId="344" xfId="786" applyNumberFormat="1" applyFont="1" applyFill="1" applyBorder="1" applyAlignment="1">
      <alignment horizontal="center" vertical="center"/>
    </xf>
    <xf numFmtId="43" fontId="29" fillId="0" borderId="345" xfId="786" applyFont="1" applyFill="1" applyBorder="1" applyAlignment="1">
      <alignment horizontal="left" vertical="center"/>
    </xf>
    <xf numFmtId="43" fontId="29" fillId="0" borderId="336" xfId="786" applyFont="1" applyFill="1" applyBorder="1" applyAlignment="1">
      <alignment horizontal="center" vertical="top"/>
    </xf>
    <xf numFmtId="43" fontId="30" fillId="0" borderId="375" xfId="786" applyFont="1" applyFill="1" applyBorder="1" applyAlignment="1">
      <alignment horizontal="center" vertical="center"/>
    </xf>
    <xf numFmtId="43" fontId="29" fillId="0" borderId="376" xfId="786" applyFont="1" applyFill="1" applyBorder="1" applyAlignment="1">
      <alignment horizontal="left" vertical="center" wrapText="1"/>
    </xf>
    <xf numFmtId="43" fontId="29" fillId="0" borderId="376" xfId="786" applyFont="1" applyFill="1" applyBorder="1" applyAlignment="1">
      <alignment horizontal="center" vertical="top"/>
    </xf>
    <xf numFmtId="233" fontId="29" fillId="0" borderId="377" xfId="786" applyNumberFormat="1" applyFont="1" applyFill="1" applyBorder="1" applyAlignment="1">
      <alignment horizontal="center" vertical="center"/>
    </xf>
    <xf numFmtId="43" fontId="29" fillId="0" borderId="378" xfId="786" applyFont="1" applyFill="1" applyBorder="1" applyAlignment="1">
      <alignment horizontal="left" vertical="center"/>
    </xf>
    <xf numFmtId="43" fontId="30" fillId="0" borderId="53" xfId="786" applyFont="1" applyFill="1" applyBorder="1" applyAlignment="1">
      <alignment horizontal="center" vertical="center"/>
    </xf>
    <xf numFmtId="43" fontId="30" fillId="0" borderId="51" xfId="786" applyFont="1" applyFill="1" applyBorder="1" applyAlignment="1">
      <alignment horizontal="left" vertical="center"/>
    </xf>
    <xf numFmtId="43" fontId="29" fillId="0" borderId="54" xfId="786" applyFont="1" applyFill="1" applyBorder="1" applyAlignment="1">
      <alignment horizontal="left" vertical="center"/>
    </xf>
    <xf numFmtId="43" fontId="29" fillId="0" borderId="416" xfId="786" applyFont="1" applyFill="1" applyBorder="1" applyAlignment="1">
      <alignment horizontal="center" vertical="center"/>
    </xf>
    <xf numFmtId="43" fontId="29" fillId="0" borderId="190" xfId="786" applyFont="1" applyFill="1" applyBorder="1" applyAlignment="1">
      <alignment horizontal="left" vertical="center"/>
    </xf>
    <xf numFmtId="43" fontId="29" fillId="0" borderId="417" xfId="786" applyFont="1" applyFill="1" applyBorder="1" applyAlignment="1">
      <alignment horizontal="center" vertical="center"/>
    </xf>
    <xf numFmtId="43" fontId="5" fillId="0" borderId="438" xfId="786" applyFont="1" applyFill="1" applyBorder="1" applyAlignment="1">
      <alignment horizontal="right" vertical="center"/>
    </xf>
    <xf numFmtId="43" fontId="29" fillId="0" borderId="217" xfId="786" applyFont="1" applyFill="1" applyBorder="1" applyAlignment="1">
      <alignment horizontal="left" vertical="center"/>
    </xf>
    <xf numFmtId="43" fontId="30" fillId="0" borderId="418" xfId="786" applyFont="1" applyFill="1" applyBorder="1" applyAlignment="1">
      <alignment horizontal="center" vertical="center"/>
    </xf>
    <xf numFmtId="234" fontId="30" fillId="0" borderId="419" xfId="786" applyNumberFormat="1" applyFont="1" applyFill="1" applyBorder="1" applyAlignment="1">
      <alignment horizontal="left" vertical="center"/>
    </xf>
    <xf numFmtId="173" fontId="29" fillId="0" borderId="344" xfId="786" applyNumberFormat="1" applyFont="1" applyFill="1" applyBorder="1" applyAlignment="1">
      <alignment horizontal="center" vertical="center"/>
    </xf>
    <xf numFmtId="43" fontId="29" fillId="0" borderId="339" xfId="786" applyFont="1" applyFill="1" applyBorder="1" applyAlignment="1">
      <alignment horizontal="left" vertical="center"/>
    </xf>
    <xf numFmtId="43" fontId="5" fillId="0" borderId="448" xfId="786" applyFont="1" applyFill="1" applyBorder="1" applyAlignment="1">
      <alignment horizontal="right" vertical="center"/>
    </xf>
    <xf numFmtId="43" fontId="29" fillId="0" borderId="449" xfId="786" applyFont="1" applyFill="1" applyBorder="1" applyAlignment="1">
      <alignment horizontal="left" vertical="center"/>
    </xf>
    <xf numFmtId="43" fontId="30" fillId="0" borderId="128" xfId="786" applyFont="1" applyFill="1" applyBorder="1" applyAlignment="1">
      <alignment horizontal="left" vertical="center"/>
    </xf>
    <xf numFmtId="0" fontId="5" fillId="0" borderId="143" xfId="0" applyFont="1" applyBorder="1" applyAlignment="1">
      <alignment horizontal="left" vertical="center"/>
    </xf>
    <xf numFmtId="0" fontId="5" fillId="0" borderId="144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 wrapText="1"/>
    </xf>
    <xf numFmtId="173" fontId="5" fillId="0" borderId="144" xfId="786" applyNumberFormat="1" applyFont="1" applyFill="1" applyBorder="1" applyAlignment="1">
      <alignment horizontal="center" vertical="center" wrapText="1"/>
    </xf>
    <xf numFmtId="43" fontId="5" fillId="0" borderId="98" xfId="786" applyFont="1" applyFill="1" applyBorder="1" applyAlignment="1">
      <alignment horizontal="right" vertical="center"/>
    </xf>
    <xf numFmtId="43" fontId="5" fillId="0" borderId="139" xfId="786" applyFont="1" applyFill="1" applyBorder="1" applyAlignment="1">
      <alignment horizontal="left" vertical="center"/>
    </xf>
    <xf numFmtId="0" fontId="30" fillId="0" borderId="291" xfId="0" applyFont="1" applyBorder="1" applyAlignment="1">
      <alignment horizontal="center" vertical="center"/>
    </xf>
    <xf numFmtId="0" fontId="30" fillId="0" borderId="292" xfId="0" applyFont="1" applyBorder="1" applyAlignment="1">
      <alignment horizontal="left" vertical="center"/>
    </xf>
    <xf numFmtId="0" fontId="29" fillId="0" borderId="292" xfId="0" applyFont="1" applyBorder="1" applyAlignment="1">
      <alignment horizontal="left" vertical="center"/>
    </xf>
    <xf numFmtId="43" fontId="29" fillId="0" borderId="293" xfId="786" applyFont="1" applyBorder="1" applyAlignment="1">
      <alignment horizontal="left" vertical="center"/>
    </xf>
    <xf numFmtId="0" fontId="29" fillId="0" borderId="335" xfId="0" applyFont="1" applyBorder="1" applyAlignment="1">
      <alignment horizontal="center" vertical="center"/>
    </xf>
    <xf numFmtId="0" fontId="29" fillId="0" borderId="336" xfId="0" applyFont="1" applyBorder="1" applyAlignment="1">
      <alignment horizontal="left" vertical="center"/>
    </xf>
    <xf numFmtId="0" fontId="29" fillId="0" borderId="336" xfId="0" applyFont="1" applyBorder="1" applyAlignment="1">
      <alignment horizontal="center" vertical="center"/>
    </xf>
    <xf numFmtId="233" fontId="29" fillId="0" borderId="336" xfId="786" applyNumberFormat="1" applyFont="1" applyBorder="1" applyAlignment="1">
      <alignment horizontal="center" vertical="center"/>
    </xf>
    <xf numFmtId="43" fontId="29" fillId="0" borderId="336" xfId="786" applyFont="1" applyBorder="1" applyAlignment="1">
      <alignment horizontal="left" vertical="center"/>
    </xf>
    <xf numFmtId="43" fontId="29" fillId="0" borderId="341" xfId="786" applyFont="1" applyBorder="1" applyAlignment="1">
      <alignment horizontal="left" vertical="center"/>
    </xf>
    <xf numFmtId="0" fontId="29" fillId="0" borderId="375" xfId="0" applyFont="1" applyBorder="1" applyAlignment="1">
      <alignment horizontal="center" vertical="center"/>
    </xf>
    <xf numFmtId="0" fontId="29" fillId="0" borderId="376" xfId="0" applyFont="1" applyBorder="1" applyAlignment="1">
      <alignment horizontal="left" vertical="center"/>
    </xf>
    <xf numFmtId="0" fontId="29" fillId="0" borderId="376" xfId="0" applyFont="1" applyBorder="1" applyAlignment="1">
      <alignment horizontal="center" vertical="center"/>
    </xf>
    <xf numFmtId="233" fontId="29" fillId="0" borderId="376" xfId="786" applyNumberFormat="1" applyFont="1" applyBorder="1" applyAlignment="1">
      <alignment horizontal="center" vertical="center"/>
    </xf>
    <xf numFmtId="43" fontId="29" fillId="0" borderId="376" xfId="786" applyFont="1" applyBorder="1" applyAlignment="1">
      <alignment horizontal="left" vertical="center"/>
    </xf>
    <xf numFmtId="43" fontId="29" fillId="0" borderId="377" xfId="786" applyFont="1" applyBorder="1" applyAlignment="1">
      <alignment horizontal="left" vertical="center"/>
    </xf>
    <xf numFmtId="0" fontId="29" fillId="0" borderId="53" xfId="0" applyFont="1" applyBorder="1" applyAlignment="1">
      <alignment horizontal="center" vertical="center"/>
    </xf>
    <xf numFmtId="0" fontId="29" fillId="0" borderId="51" xfId="0" applyFont="1" applyBorder="1" applyAlignment="1">
      <alignment horizontal="left" vertical="center"/>
    </xf>
    <xf numFmtId="43" fontId="30" fillId="0" borderId="54" xfId="786" applyFont="1" applyBorder="1" applyAlignment="1">
      <alignment horizontal="left" vertical="center"/>
    </xf>
    <xf numFmtId="0" fontId="30" fillId="0" borderId="300" xfId="0" applyFont="1" applyBorder="1" applyAlignment="1">
      <alignment horizontal="center" vertical="center"/>
    </xf>
    <xf numFmtId="0" fontId="30" fillId="0" borderId="301" xfId="0" applyFont="1" applyBorder="1" applyAlignment="1">
      <alignment horizontal="left" vertical="center"/>
    </xf>
    <xf numFmtId="0" fontId="29" fillId="0" borderId="301" xfId="0" applyFont="1" applyBorder="1" applyAlignment="1">
      <alignment horizontal="left" vertical="center"/>
    </xf>
    <xf numFmtId="43" fontId="29" fillId="0" borderId="303" xfId="786" applyFont="1" applyBorder="1" applyAlignment="1">
      <alignment horizontal="left" vertical="center"/>
    </xf>
    <xf numFmtId="0" fontId="30" fillId="0" borderId="335" xfId="0" applyFont="1" applyBorder="1" applyAlignment="1">
      <alignment horizontal="center" vertical="center"/>
    </xf>
    <xf numFmtId="0" fontId="29" fillId="0" borderId="336" xfId="0" applyFont="1" applyBorder="1" applyAlignment="1">
      <alignment horizontal="left" vertical="center" wrapText="1"/>
    </xf>
    <xf numFmtId="43" fontId="29" fillId="0" borderId="385" xfId="786" applyFont="1" applyBorder="1" applyAlignment="1">
      <alignment horizontal="left" vertical="center"/>
    </xf>
    <xf numFmtId="43" fontId="29" fillId="52" borderId="336" xfId="786" applyFont="1" applyFill="1" applyBorder="1" applyAlignment="1">
      <alignment horizontal="left" vertical="center" wrapText="1"/>
    </xf>
    <xf numFmtId="0" fontId="29" fillId="0" borderId="376" xfId="0" applyFont="1" applyBorder="1" applyAlignment="1">
      <alignment horizontal="left" vertical="center" wrapText="1"/>
    </xf>
    <xf numFmtId="43" fontId="29" fillId="0" borderId="378" xfId="786" applyFont="1" applyBorder="1" applyAlignment="1">
      <alignment horizontal="left" vertical="center"/>
    </xf>
    <xf numFmtId="0" fontId="30" fillId="0" borderId="53" xfId="0" applyFont="1" applyBorder="1" applyAlignment="1">
      <alignment horizontal="center" vertical="center"/>
    </xf>
    <xf numFmtId="0" fontId="30" fillId="0" borderId="51" xfId="0" applyFont="1" applyBorder="1" applyAlignment="1">
      <alignment horizontal="left" vertical="center"/>
    </xf>
    <xf numFmtId="43" fontId="29" fillId="0" borderId="54" xfId="786" applyFont="1" applyBorder="1" applyAlignment="1">
      <alignment horizontal="left" vertical="center"/>
    </xf>
    <xf numFmtId="0" fontId="29" fillId="0" borderId="416" xfId="0" applyFont="1" applyBorder="1" applyAlignment="1">
      <alignment horizontal="center" vertical="center"/>
    </xf>
    <xf numFmtId="43" fontId="29" fillId="0" borderId="190" xfId="786" applyFont="1" applyBorder="1" applyAlignment="1">
      <alignment horizontal="left" vertical="center"/>
    </xf>
    <xf numFmtId="0" fontId="29" fillId="0" borderId="417" xfId="0" applyFont="1" applyBorder="1" applyAlignment="1">
      <alignment horizontal="center" vertical="center"/>
    </xf>
    <xf numFmtId="0" fontId="30" fillId="0" borderId="418" xfId="0" applyFont="1" applyBorder="1" applyAlignment="1">
      <alignment horizontal="center" vertical="center"/>
    </xf>
    <xf numFmtId="43" fontId="30" fillId="0" borderId="419" xfId="786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77" xfId="0" applyFont="1" applyBorder="1" applyAlignment="1">
      <alignment horizontal="center" vertical="center"/>
    </xf>
    <xf numFmtId="43" fontId="5" fillId="0" borderId="128" xfId="786" applyFont="1" applyFill="1" applyBorder="1" applyAlignment="1">
      <alignment horizontal="right" vertical="center"/>
    </xf>
    <xf numFmtId="0" fontId="5" fillId="0" borderId="147" xfId="0" applyFont="1" applyBorder="1" applyAlignment="1">
      <alignment horizontal="left" vertical="center"/>
    </xf>
    <xf numFmtId="0" fontId="5" fillId="0" borderId="149" xfId="0" applyFont="1" applyBorder="1" applyAlignment="1">
      <alignment horizontal="center" vertical="center"/>
    </xf>
    <xf numFmtId="173" fontId="5" fillId="0" borderId="149" xfId="786" applyNumberFormat="1" applyFont="1" applyFill="1" applyBorder="1" applyAlignment="1">
      <alignment horizontal="center" vertical="center"/>
    </xf>
    <xf numFmtId="0" fontId="5" fillId="0" borderId="138" xfId="0" applyFont="1" applyBorder="1" applyAlignment="1">
      <alignment horizontal="left" vertical="center"/>
    </xf>
    <xf numFmtId="0" fontId="5" fillId="0" borderId="138" xfId="0" applyFont="1" applyBorder="1" applyAlignment="1">
      <alignment horizontal="center" vertical="center"/>
    </xf>
    <xf numFmtId="173" fontId="5" fillId="0" borderId="138" xfId="786" applyNumberFormat="1" applyFont="1" applyFill="1" applyBorder="1" applyAlignment="1">
      <alignment horizontal="center" vertical="center"/>
    </xf>
    <xf numFmtId="0" fontId="5" fillId="0" borderId="131" xfId="0" applyFont="1" applyBorder="1" applyAlignment="1">
      <alignment horizontal="left" vertical="center"/>
    </xf>
    <xf numFmtId="173" fontId="5" fillId="0" borderId="131" xfId="786" applyNumberFormat="1" applyFont="1" applyFill="1" applyBorder="1" applyAlignment="1">
      <alignment horizontal="center" vertical="center"/>
    </xf>
    <xf numFmtId="173" fontId="5" fillId="0" borderId="134" xfId="0" applyNumberFormat="1" applyFont="1" applyFill="1" applyBorder="1" applyAlignment="1">
      <alignment vertical="center"/>
    </xf>
    <xf numFmtId="173" fontId="5" fillId="0" borderId="150" xfId="0" applyNumberFormat="1" applyFont="1" applyFill="1" applyBorder="1" applyAlignment="1">
      <alignment vertical="center"/>
    </xf>
    <xf numFmtId="0" fontId="5" fillId="0" borderId="152" xfId="0" applyFont="1" applyBorder="1" applyAlignment="1">
      <alignment horizontal="left" vertical="center"/>
    </xf>
    <xf numFmtId="0" fontId="5" fillId="0" borderId="153" xfId="0" applyFont="1" applyBorder="1" applyAlignment="1">
      <alignment horizontal="center" vertical="center"/>
    </xf>
    <xf numFmtId="173" fontId="5" fillId="0" borderId="153" xfId="786" applyNumberFormat="1" applyFont="1" applyFill="1" applyBorder="1" applyAlignment="1">
      <alignment horizontal="center" vertical="center"/>
    </xf>
    <xf numFmtId="43" fontId="5" fillId="0" borderId="154" xfId="786" applyFont="1" applyFill="1" applyBorder="1" applyAlignment="1">
      <alignment horizontal="right" vertical="center"/>
    </xf>
    <xf numFmtId="0" fontId="5" fillId="0" borderId="151" xfId="0" applyFont="1" applyFill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173" fontId="5" fillId="0" borderId="152" xfId="786" applyNumberFormat="1" applyFont="1" applyFill="1" applyBorder="1" applyAlignment="1">
      <alignment horizontal="center" vertical="center"/>
    </xf>
    <xf numFmtId="43" fontId="5" fillId="0" borderId="154" xfId="786" applyFont="1" applyFill="1" applyBorder="1" applyAlignment="1">
      <alignment vertical="center"/>
    </xf>
    <xf numFmtId="41" fontId="7" fillId="0" borderId="155" xfId="803" applyFont="1" applyFill="1" applyBorder="1"/>
    <xf numFmtId="43" fontId="5" fillId="0" borderId="156" xfId="786" applyFont="1" applyFill="1" applyBorder="1" applyAlignment="1">
      <alignment horizontal="left" vertical="justify"/>
    </xf>
    <xf numFmtId="0" fontId="5" fillId="0" borderId="159" xfId="0" applyFont="1" applyBorder="1" applyAlignment="1">
      <alignment horizontal="left" vertical="center"/>
    </xf>
    <xf numFmtId="0" fontId="5" fillId="0" borderId="159" xfId="0" applyFont="1" applyBorder="1" applyAlignment="1">
      <alignment horizontal="center" vertical="center"/>
    </xf>
    <xf numFmtId="173" fontId="5" fillId="0" borderId="159" xfId="786" applyNumberFormat="1" applyFont="1" applyFill="1" applyBorder="1" applyAlignment="1">
      <alignment horizontal="center" vertical="center"/>
    </xf>
    <xf numFmtId="0" fontId="5" fillId="0" borderId="158" xfId="0" applyFont="1" applyFill="1" applyBorder="1" applyAlignment="1">
      <alignment horizontal="center" vertical="center"/>
    </xf>
    <xf numFmtId="0" fontId="5" fillId="0" borderId="160" xfId="0" applyFont="1" applyBorder="1" applyAlignment="1">
      <alignment horizontal="left" vertical="center"/>
    </xf>
    <xf numFmtId="0" fontId="5" fillId="0" borderId="160" xfId="0" applyFont="1" applyBorder="1" applyAlignment="1">
      <alignment horizontal="center" vertical="center"/>
    </xf>
    <xf numFmtId="173" fontId="5" fillId="0" borderId="160" xfId="786" applyNumberFormat="1" applyFont="1" applyFill="1" applyBorder="1" applyAlignment="1">
      <alignment horizontal="center" vertical="center"/>
    </xf>
    <xf numFmtId="173" fontId="18" fillId="0" borderId="0" xfId="0" applyNumberFormat="1" applyFont="1" applyFill="1"/>
    <xf numFmtId="43" fontId="18" fillId="0" borderId="0" xfId="786" applyFont="1" applyFill="1"/>
    <xf numFmtId="0" fontId="5" fillId="0" borderId="161" xfId="0" applyFont="1" applyBorder="1" applyAlignment="1">
      <alignment horizontal="left" vertical="center"/>
    </xf>
    <xf numFmtId="0" fontId="5" fillId="0" borderId="161" xfId="0" applyFont="1" applyBorder="1" applyAlignment="1">
      <alignment horizontal="center" vertical="center"/>
    </xf>
    <xf numFmtId="173" fontId="5" fillId="0" borderId="161" xfId="786" applyNumberFormat="1" applyFont="1" applyFill="1" applyBorder="1" applyAlignment="1">
      <alignment horizontal="center" vertical="center"/>
    </xf>
    <xf numFmtId="0" fontId="154" fillId="0" borderId="0" xfId="0" applyFont="1" applyAlignment="1">
      <alignment vertical="center"/>
    </xf>
    <xf numFmtId="0" fontId="154" fillId="0" borderId="0" xfId="0" applyFont="1" applyAlignment="1">
      <alignment vertical="center" wrapText="1"/>
    </xf>
    <xf numFmtId="0" fontId="154" fillId="0" borderId="0" xfId="0" applyFont="1" applyAlignment="1">
      <alignment horizontal="center" vertical="center" wrapText="1"/>
    </xf>
    <xf numFmtId="173" fontId="154" fillId="0" borderId="0" xfId="0" applyNumberFormat="1" applyFont="1" applyAlignment="1">
      <alignment vertical="center" wrapText="1"/>
    </xf>
    <xf numFmtId="0" fontId="18" fillId="0" borderId="224" xfId="0" applyFont="1" applyBorder="1" applyAlignment="1">
      <alignment horizontal="center" vertical="center"/>
    </xf>
    <xf numFmtId="0" fontId="18" fillId="0" borderId="225" xfId="0" applyFont="1" applyBorder="1" applyAlignment="1">
      <alignment horizontal="left" vertical="center"/>
    </xf>
    <xf numFmtId="173" fontId="18" fillId="0" borderId="224" xfId="1820" applyNumberFormat="1" applyFont="1" applyFill="1" applyBorder="1" applyAlignment="1">
      <alignment horizontal="center" vertical="center"/>
    </xf>
    <xf numFmtId="43" fontId="18" fillId="0" borderId="224" xfId="1820" applyFont="1" applyFill="1" applyBorder="1" applyAlignment="1">
      <alignment horizontal="center" vertical="center"/>
    </xf>
    <xf numFmtId="1" fontId="18" fillId="0" borderId="78" xfId="0" applyNumberFormat="1" applyFont="1" applyBorder="1" applyAlignment="1">
      <alignment horizontal="center" vertical="center"/>
    </xf>
    <xf numFmtId="0" fontId="18" fillId="0" borderId="93" xfId="0" applyFont="1" applyBorder="1" applyAlignment="1">
      <alignment horizontal="left" vertical="center"/>
    </xf>
    <xf numFmtId="0" fontId="18" fillId="0" borderId="78" xfId="0" applyFont="1" applyBorder="1" applyAlignment="1">
      <alignment horizontal="center" vertical="center"/>
    </xf>
    <xf numFmtId="173" fontId="18" fillId="0" borderId="78" xfId="1820" applyNumberFormat="1" applyFont="1" applyFill="1" applyBorder="1" applyAlignment="1">
      <alignment horizontal="center" vertical="center"/>
    </xf>
    <xf numFmtId="44" fontId="18" fillId="0" borderId="78" xfId="1816" applyNumberFormat="1" applyFont="1" applyBorder="1" applyAlignment="1">
      <alignment horizontal="center" vertical="center"/>
    </xf>
    <xf numFmtId="1" fontId="18" fillId="0" borderId="182" xfId="0" applyNumberFormat="1" applyFont="1" applyBorder="1" applyAlignment="1">
      <alignment horizontal="center" vertical="center"/>
    </xf>
    <xf numFmtId="0" fontId="18" fillId="0" borderId="223" xfId="0" applyFont="1" applyBorder="1" applyAlignment="1">
      <alignment horizontal="left" vertical="center"/>
    </xf>
    <xf numFmtId="0" fontId="18" fillId="0" borderId="182" xfId="0" applyFont="1" applyBorder="1" applyAlignment="1">
      <alignment horizontal="center" vertical="center"/>
    </xf>
    <xf numFmtId="173" fontId="18" fillId="0" borderId="182" xfId="1820" applyNumberFormat="1" applyFont="1" applyFill="1" applyBorder="1" applyAlignment="1">
      <alignment horizontal="center" vertical="center"/>
    </xf>
    <xf numFmtId="44" fontId="18" fillId="0" borderId="182" xfId="1816" applyNumberFormat="1" applyFont="1" applyBorder="1" applyAlignment="1">
      <alignment horizontal="center" vertical="center"/>
    </xf>
    <xf numFmtId="0" fontId="154" fillId="0" borderId="55" xfId="0" applyFont="1" applyBorder="1" applyAlignment="1">
      <alignment vertical="center"/>
    </xf>
    <xf numFmtId="0" fontId="154" fillId="0" borderId="189" xfId="0" applyFont="1" applyBorder="1" applyAlignment="1">
      <alignment vertical="center"/>
    </xf>
    <xf numFmtId="0" fontId="154" fillId="0" borderId="189" xfId="0" applyFont="1" applyBorder="1" applyAlignment="1">
      <alignment horizontal="center" vertical="center"/>
    </xf>
    <xf numFmtId="173" fontId="154" fillId="0" borderId="189" xfId="0" applyNumberFormat="1" applyFont="1" applyBorder="1" applyAlignment="1">
      <alignment vertical="center"/>
    </xf>
    <xf numFmtId="0" fontId="154" fillId="0" borderId="56" xfId="0" applyFont="1" applyBorder="1" applyAlignment="1">
      <alignment vertical="center"/>
    </xf>
    <xf numFmtId="44" fontId="154" fillId="0" borderId="190" xfId="1816" applyNumberFormat="1" applyFont="1" applyBorder="1" applyAlignment="1">
      <alignment horizontal="center" vertical="center"/>
    </xf>
    <xf numFmtId="0" fontId="18" fillId="0" borderId="181" xfId="0" applyFont="1" applyBorder="1" applyAlignment="1">
      <alignment horizontal="center" vertical="center"/>
    </xf>
    <xf numFmtId="0" fontId="18" fillId="0" borderId="222" xfId="0" applyFont="1" applyBorder="1" applyAlignment="1">
      <alignment horizontal="left" vertical="center"/>
    </xf>
    <xf numFmtId="173" fontId="18" fillId="0" borderId="181" xfId="1820" applyNumberFormat="1" applyFont="1" applyFill="1" applyBorder="1" applyAlignment="1">
      <alignment horizontal="center" vertical="center"/>
    </xf>
    <xf numFmtId="43" fontId="18" fillId="0" borderId="181" xfId="1820" applyFont="1" applyFill="1" applyBorder="1" applyAlignment="1">
      <alignment horizontal="center" vertical="center"/>
    </xf>
    <xf numFmtId="43" fontId="18" fillId="0" borderId="182" xfId="182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7" xfId="0" applyFont="1" applyBorder="1" applyAlignment="1">
      <alignment vertical="center"/>
    </xf>
    <xf numFmtId="173" fontId="18" fillId="0" borderId="57" xfId="0" applyNumberFormat="1" applyFont="1" applyBorder="1" applyAlignment="1">
      <alignment vertical="center"/>
    </xf>
    <xf numFmtId="0" fontId="18" fillId="0" borderId="124" xfId="0" applyFont="1" applyBorder="1" applyAlignment="1">
      <alignment vertical="center"/>
    </xf>
    <xf numFmtId="44" fontId="18" fillId="0" borderId="190" xfId="1816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8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54" fillId="0" borderId="69" xfId="0" applyFont="1" applyBorder="1" applyAlignment="1">
      <alignment vertical="center"/>
    </xf>
    <xf numFmtId="0" fontId="154" fillId="0" borderId="69" xfId="0" applyFont="1" applyBorder="1" applyAlignment="1">
      <alignment horizontal="center" vertical="center"/>
    </xf>
    <xf numFmtId="173" fontId="154" fillId="0" borderId="69" xfId="0" applyNumberFormat="1" applyFont="1" applyBorder="1" applyAlignment="1">
      <alignment vertical="center"/>
    </xf>
    <xf numFmtId="0" fontId="154" fillId="0" borderId="191" xfId="0" applyFont="1" applyBorder="1" applyAlignment="1">
      <alignment vertical="center"/>
    </xf>
    <xf numFmtId="44" fontId="18" fillId="0" borderId="192" xfId="1816" applyNumberFormat="1" applyFont="1" applyBorder="1" applyAlignment="1">
      <alignment horizontal="center" vertical="center"/>
    </xf>
    <xf numFmtId="0" fontId="18" fillId="0" borderId="55" xfId="0" applyFont="1" applyBorder="1" applyAlignment="1">
      <alignment horizontal="left" vertical="center"/>
    </xf>
    <xf numFmtId="0" fontId="5" fillId="0" borderId="162" xfId="0" applyFont="1" applyFill="1" applyBorder="1" applyAlignment="1">
      <alignment horizontal="center" vertical="center"/>
    </xf>
    <xf numFmtId="43" fontId="18" fillId="55" borderId="70" xfId="786" applyFont="1" applyFill="1" applyBorder="1" applyAlignment="1">
      <alignment horizontal="center"/>
    </xf>
    <xf numFmtId="43" fontId="18" fillId="55" borderId="36" xfId="786" applyFont="1" applyFill="1" applyBorder="1" applyAlignment="1">
      <alignment horizontal="center" vertical="top"/>
    </xf>
    <xf numFmtId="0" fontId="18" fillId="0" borderId="84" xfId="0" applyFont="1" applyFill="1" applyBorder="1" applyAlignment="1">
      <alignment horizontal="center" vertical="center"/>
    </xf>
    <xf numFmtId="43" fontId="227" fillId="0" borderId="34" xfId="786" applyFont="1" applyFill="1" applyBorder="1" applyAlignment="1">
      <alignment horizontal="left" vertical="center"/>
    </xf>
    <xf numFmtId="0" fontId="18" fillId="0" borderId="71" xfId="0" applyFont="1" applyFill="1" applyBorder="1" applyAlignment="1">
      <alignment horizontal="center" vertical="center"/>
    </xf>
    <xf numFmtId="173" fontId="18" fillId="0" borderId="71" xfId="786" applyNumberFormat="1" applyFont="1" applyFill="1" applyBorder="1" applyAlignment="1">
      <alignment horizontal="center" vertical="center"/>
    </xf>
    <xf numFmtId="43" fontId="18" fillId="0" borderId="71" xfId="786" applyFont="1" applyFill="1" applyBorder="1" applyAlignment="1">
      <alignment horizontal="center" vertical="center"/>
    </xf>
    <xf numFmtId="43" fontId="18" fillId="0" borderId="86" xfId="786" applyFont="1" applyFill="1" applyBorder="1" applyAlignment="1">
      <alignment vertical="center"/>
    </xf>
    <xf numFmtId="0" fontId="18" fillId="0" borderId="86" xfId="0" applyFont="1" applyFill="1" applyBorder="1" applyAlignment="1">
      <alignment horizontal="center" vertical="center"/>
    </xf>
    <xf numFmtId="173" fontId="18" fillId="0" borderId="134" xfId="0" applyNumberFormat="1" applyFont="1" applyFill="1" applyBorder="1" applyAlignment="1">
      <alignment vertical="center"/>
    </xf>
    <xf numFmtId="43" fontId="18" fillId="0" borderId="86" xfId="786" applyFont="1" applyFill="1" applyBorder="1" applyAlignment="1">
      <alignment horizontal="right" vertical="center"/>
    </xf>
    <xf numFmtId="43" fontId="18" fillId="0" borderId="154" xfId="786" applyFont="1" applyFill="1" applyBorder="1" applyAlignment="1">
      <alignment vertical="center"/>
    </xf>
    <xf numFmtId="0" fontId="18" fillId="0" borderId="73" xfId="0" applyFont="1" applyFill="1" applyBorder="1" applyAlignment="1">
      <alignment horizontal="center" vertical="center"/>
    </xf>
    <xf numFmtId="43" fontId="18" fillId="0" borderId="73" xfId="786" applyFont="1" applyFill="1" applyBorder="1" applyAlignment="1">
      <alignment horizontal="right" vertical="center"/>
    </xf>
    <xf numFmtId="0" fontId="18" fillId="0" borderId="79" xfId="0" applyFont="1" applyFill="1" applyBorder="1" applyAlignment="1">
      <alignment horizontal="center" vertical="center"/>
    </xf>
    <xf numFmtId="173" fontId="18" fillId="0" borderId="150" xfId="0" applyNumberFormat="1" applyFont="1" applyFill="1" applyBorder="1" applyAlignment="1">
      <alignment vertical="center"/>
    </xf>
    <xf numFmtId="43" fontId="18" fillId="0" borderId="79" xfId="786" applyFont="1" applyFill="1" applyBorder="1" applyAlignment="1">
      <alignment horizontal="right" vertical="center"/>
    </xf>
    <xf numFmtId="43" fontId="18" fillId="0" borderId="20" xfId="786" applyFont="1" applyFill="1" applyBorder="1" applyAlignment="1">
      <alignment horizontal="left" vertical="center"/>
    </xf>
    <xf numFmtId="0" fontId="18" fillId="0" borderId="65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173" fontId="18" fillId="0" borderId="67" xfId="0" applyNumberFormat="1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43" fontId="154" fillId="0" borderId="20" xfId="786" applyFont="1" applyFill="1" applyBorder="1" applyAlignment="1">
      <alignment horizontal="right" vertical="center"/>
    </xf>
    <xf numFmtId="43" fontId="227" fillId="0" borderId="37" xfId="786" applyFont="1" applyFill="1" applyBorder="1" applyAlignment="1">
      <alignment horizontal="left" vertical="center"/>
    </xf>
    <xf numFmtId="0" fontId="18" fillId="0" borderId="37" xfId="0" applyFont="1" applyFill="1" applyBorder="1" applyAlignment="1">
      <alignment horizontal="center" vertical="center"/>
    </xf>
    <xf numFmtId="173" fontId="18" fillId="0" borderId="37" xfId="786" applyNumberFormat="1" applyFont="1" applyFill="1" applyBorder="1" applyAlignment="1">
      <alignment horizontal="right" vertical="center"/>
    </xf>
    <xf numFmtId="43" fontId="18" fillId="0" borderId="37" xfId="786" applyFont="1" applyFill="1" applyBorder="1" applyAlignment="1">
      <alignment horizontal="right" vertical="center"/>
    </xf>
    <xf numFmtId="0" fontId="18" fillId="0" borderId="158" xfId="0" applyFont="1" applyFill="1" applyBorder="1" applyAlignment="1">
      <alignment horizontal="center" vertical="center"/>
    </xf>
    <xf numFmtId="0" fontId="18" fillId="0" borderId="159" xfId="0" applyFont="1" applyBorder="1" applyAlignment="1">
      <alignment horizontal="left" vertical="center"/>
    </xf>
    <xf numFmtId="0" fontId="18" fillId="0" borderId="159" xfId="0" applyFont="1" applyBorder="1" applyAlignment="1">
      <alignment horizontal="center" vertical="center"/>
    </xf>
    <xf numFmtId="173" fontId="18" fillId="0" borderId="159" xfId="786" applyNumberFormat="1" applyFont="1" applyFill="1" applyBorder="1" applyAlignment="1">
      <alignment horizontal="center" vertical="center"/>
    </xf>
    <xf numFmtId="43" fontId="18" fillId="0" borderId="154" xfId="786" applyFont="1" applyFill="1" applyBorder="1" applyAlignment="1">
      <alignment horizontal="right" vertical="center"/>
    </xf>
    <xf numFmtId="0" fontId="18" fillId="0" borderId="161" xfId="0" applyFont="1" applyBorder="1" applyAlignment="1">
      <alignment horizontal="left" vertical="center"/>
    </xf>
    <xf numFmtId="0" fontId="18" fillId="0" borderId="161" xfId="0" applyFont="1" applyBorder="1" applyAlignment="1">
      <alignment horizontal="center" vertical="center"/>
    </xf>
    <xf numFmtId="173" fontId="18" fillId="0" borderId="161" xfId="786" applyNumberFormat="1" applyFont="1" applyFill="1" applyBorder="1" applyAlignment="1">
      <alignment horizontal="center" vertical="center"/>
    </xf>
    <xf numFmtId="0" fontId="18" fillId="0" borderId="162" xfId="0" applyFont="1" applyFill="1" applyBorder="1" applyAlignment="1">
      <alignment horizontal="center" vertical="center"/>
    </xf>
    <xf numFmtId="43" fontId="18" fillId="0" borderId="65" xfId="786" applyNumberFormat="1" applyFont="1" applyFill="1" applyBorder="1" applyAlignment="1">
      <alignment horizontal="center" vertical="center"/>
    </xf>
    <xf numFmtId="0" fontId="18" fillId="0" borderId="67" xfId="0" applyFont="1" applyBorder="1"/>
    <xf numFmtId="173" fontId="18" fillId="0" borderId="67" xfId="0" applyNumberFormat="1" applyFont="1" applyBorder="1"/>
    <xf numFmtId="0" fontId="18" fillId="0" borderId="66" xfId="0" applyFont="1" applyBorder="1"/>
    <xf numFmtId="43" fontId="18" fillId="0" borderId="20" xfId="786" applyFont="1" applyFill="1" applyBorder="1" applyAlignment="1">
      <alignment horizontal="right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84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65" xfId="0" applyFont="1" applyBorder="1" applyAlignment="1">
      <alignment horizontal="center"/>
    </xf>
    <xf numFmtId="0" fontId="18" fillId="0" borderId="88" xfId="0" applyFont="1" applyFill="1" applyBorder="1" applyAlignment="1">
      <alignment horizontal="center" vertical="center"/>
    </xf>
    <xf numFmtId="0" fontId="18" fillId="0" borderId="38" xfId="0" applyFont="1" applyBorder="1" applyAlignment="1">
      <alignment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73" fontId="18" fillId="0" borderId="0" xfId="786" applyNumberFormat="1" applyFont="1" applyFill="1" applyBorder="1" applyAlignment="1">
      <alignment horizontal="right" vertical="center"/>
    </xf>
    <xf numFmtId="43" fontId="18" fillId="0" borderId="68" xfId="786" applyFont="1" applyFill="1" applyBorder="1" applyAlignment="1">
      <alignment horizontal="right" vertical="center"/>
    </xf>
    <xf numFmtId="43" fontId="18" fillId="0" borderId="64" xfId="786" applyFont="1" applyFill="1" applyBorder="1" applyAlignment="1">
      <alignment horizontal="right" vertical="center"/>
    </xf>
    <xf numFmtId="0" fontId="18" fillId="0" borderId="4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89" xfId="0" applyFont="1" applyFill="1" applyBorder="1" applyAlignment="1">
      <alignment horizontal="center" vertical="center"/>
    </xf>
    <xf numFmtId="0" fontId="154" fillId="0" borderId="49" xfId="0" applyFont="1" applyBorder="1" applyAlignment="1">
      <alignment vertical="center"/>
    </xf>
    <xf numFmtId="0" fontId="18" fillId="0" borderId="50" xfId="0" applyFont="1" applyFill="1" applyBorder="1" applyAlignment="1">
      <alignment horizontal="center" vertical="center"/>
    </xf>
    <xf numFmtId="173" fontId="18" fillId="0" borderId="50" xfId="786" applyNumberFormat="1" applyFont="1" applyFill="1" applyBorder="1" applyAlignment="1">
      <alignment horizontal="right" vertical="center"/>
    </xf>
    <xf numFmtId="43" fontId="18" fillId="0" borderId="90" xfId="786" applyFont="1" applyFill="1" applyBorder="1" applyAlignment="1">
      <alignment horizontal="right" vertical="center"/>
    </xf>
    <xf numFmtId="43" fontId="154" fillId="0" borderId="91" xfId="786" applyFont="1" applyFill="1" applyBorder="1" applyAlignment="1">
      <alignment horizontal="right" vertical="center"/>
    </xf>
    <xf numFmtId="0" fontId="154" fillId="0" borderId="0" xfId="1819" applyFont="1" applyAlignment="1">
      <alignment vertical="center" wrapText="1"/>
    </xf>
    <xf numFmtId="0" fontId="154" fillId="0" borderId="0" xfId="1819" applyFont="1" applyAlignment="1">
      <alignment horizontal="center" vertical="center" wrapText="1"/>
    </xf>
    <xf numFmtId="173" fontId="154" fillId="0" borderId="0" xfId="1819" applyNumberFormat="1" applyFont="1" applyAlignment="1">
      <alignment vertical="center" wrapText="1"/>
    </xf>
    <xf numFmtId="43" fontId="154" fillId="0" borderId="0" xfId="786" applyFont="1" applyAlignment="1">
      <alignment vertical="center" wrapText="1"/>
    </xf>
    <xf numFmtId="0" fontId="18" fillId="0" borderId="224" xfId="1819" applyFont="1" applyBorder="1" applyAlignment="1">
      <alignment horizontal="center" vertical="center"/>
    </xf>
    <xf numFmtId="0" fontId="18" fillId="0" borderId="225" xfId="1819" applyFont="1" applyBorder="1" applyAlignment="1">
      <alignment horizontal="left" vertical="center"/>
    </xf>
    <xf numFmtId="43" fontId="18" fillId="0" borderId="224" xfId="786" applyFont="1" applyFill="1" applyBorder="1" applyAlignment="1">
      <alignment horizontal="center" vertical="center"/>
    </xf>
    <xf numFmtId="1" fontId="18" fillId="0" borderId="78" xfId="1819" applyNumberFormat="1" applyFont="1" applyBorder="1" applyAlignment="1">
      <alignment horizontal="center" vertical="center"/>
    </xf>
    <xf numFmtId="0" fontId="18" fillId="0" borderId="93" xfId="1819" applyFont="1" applyBorder="1" applyAlignment="1">
      <alignment horizontal="left" vertical="center"/>
    </xf>
    <xf numFmtId="0" fontId="18" fillId="0" borderId="78" xfId="1819" applyFont="1" applyBorder="1" applyAlignment="1">
      <alignment horizontal="center" vertical="center"/>
    </xf>
    <xf numFmtId="43" fontId="18" fillId="0" borderId="78" xfId="786" applyFont="1" applyBorder="1" applyAlignment="1">
      <alignment horizontal="center" vertical="center"/>
    </xf>
    <xf numFmtId="1" fontId="18" fillId="0" borderId="182" xfId="1819" applyNumberFormat="1" applyFont="1" applyBorder="1" applyAlignment="1">
      <alignment horizontal="center" vertical="center"/>
    </xf>
    <xf numFmtId="0" fontId="18" fillId="0" borderId="223" xfId="1819" applyFont="1" applyBorder="1" applyAlignment="1">
      <alignment horizontal="left" vertical="center"/>
    </xf>
    <xf numFmtId="0" fontId="18" fillId="0" borderId="182" xfId="1819" applyFont="1" applyBorder="1" applyAlignment="1">
      <alignment horizontal="center" vertical="center"/>
    </xf>
    <xf numFmtId="43" fontId="18" fillId="0" borderId="182" xfId="786" applyFont="1" applyBorder="1" applyAlignment="1">
      <alignment horizontal="center" vertical="center"/>
    </xf>
    <xf numFmtId="0" fontId="154" fillId="0" borderId="55" xfId="1819" applyFont="1" applyBorder="1" applyAlignment="1">
      <alignment vertical="center"/>
    </xf>
    <xf numFmtId="0" fontId="154" fillId="0" borderId="189" xfId="1819" applyFont="1" applyBorder="1" applyAlignment="1">
      <alignment vertical="center"/>
    </xf>
    <xf numFmtId="0" fontId="154" fillId="0" borderId="189" xfId="1819" applyFont="1" applyBorder="1" applyAlignment="1">
      <alignment horizontal="center" vertical="center"/>
    </xf>
    <xf numFmtId="173" fontId="154" fillId="0" borderId="189" xfId="1819" applyNumberFormat="1" applyFont="1" applyBorder="1" applyAlignment="1">
      <alignment vertical="center"/>
    </xf>
    <xf numFmtId="43" fontId="154" fillId="0" borderId="56" xfId="786" applyFont="1" applyBorder="1" applyAlignment="1">
      <alignment vertical="center"/>
    </xf>
    <xf numFmtId="43" fontId="154" fillId="0" borderId="190" xfId="786" applyFont="1" applyBorder="1" applyAlignment="1">
      <alignment horizontal="center" vertical="center"/>
    </xf>
    <xf numFmtId="0" fontId="18" fillId="0" borderId="181" xfId="1819" applyFont="1" applyBorder="1" applyAlignment="1">
      <alignment horizontal="center" vertical="center"/>
    </xf>
    <xf numFmtId="0" fontId="18" fillId="0" borderId="222" xfId="1819" applyFont="1" applyBorder="1" applyAlignment="1">
      <alignment horizontal="left" vertical="center"/>
    </xf>
    <xf numFmtId="43" fontId="18" fillId="0" borderId="181" xfId="786" applyFont="1" applyFill="1" applyBorder="1" applyAlignment="1">
      <alignment horizontal="center" vertical="center"/>
    </xf>
    <xf numFmtId="43" fontId="29" fillId="0" borderId="78" xfId="786" applyFont="1" applyBorder="1" applyAlignment="1">
      <alignment horizontal="left" vertical="center"/>
    </xf>
    <xf numFmtId="43" fontId="29" fillId="0" borderId="78" xfId="786" applyFont="1" applyBorder="1" applyAlignment="1">
      <alignment horizontal="center" vertical="top"/>
    </xf>
    <xf numFmtId="233" fontId="29" fillId="0" borderId="78" xfId="786" applyNumberFormat="1" applyFont="1" applyBorder="1" applyAlignment="1">
      <alignment horizontal="center" vertical="center"/>
    </xf>
    <xf numFmtId="43" fontId="29" fillId="0" borderId="340" xfId="786" applyFont="1" applyBorder="1" applyAlignment="1">
      <alignment horizontal="left" vertical="center"/>
    </xf>
    <xf numFmtId="43" fontId="29" fillId="0" borderId="182" xfId="786" applyFont="1" applyBorder="1" applyAlignment="1">
      <alignment horizontal="left" vertical="center"/>
    </xf>
    <xf numFmtId="43" fontId="29" fillId="0" borderId="182" xfId="786" applyFont="1" applyBorder="1" applyAlignment="1">
      <alignment horizontal="center" vertical="top"/>
    </xf>
    <xf numFmtId="233" fontId="29" fillId="0" borderId="223" xfId="786" applyNumberFormat="1" applyFont="1" applyBorder="1" applyAlignment="1">
      <alignment horizontal="center" vertical="center"/>
    </xf>
    <xf numFmtId="43" fontId="29" fillId="0" borderId="379" xfId="786" applyFont="1" applyBorder="1" applyAlignment="1">
      <alignment horizontal="left" vertical="center"/>
    </xf>
    <xf numFmtId="0" fontId="18" fillId="0" borderId="51" xfId="1819" applyFont="1" applyBorder="1" applyAlignment="1">
      <alignment horizontal="center" vertical="center"/>
    </xf>
    <xf numFmtId="0" fontId="18" fillId="0" borderId="55" xfId="1819" applyFont="1" applyBorder="1" applyAlignment="1">
      <alignment horizontal="left" vertical="center"/>
    </xf>
    <xf numFmtId="173" fontId="18" fillId="0" borderId="51" xfId="1820" applyNumberFormat="1" applyFont="1" applyFill="1" applyBorder="1" applyAlignment="1">
      <alignment horizontal="center" vertical="center"/>
    </xf>
    <xf numFmtId="43" fontId="18" fillId="0" borderId="51" xfId="786" applyFont="1" applyFill="1" applyBorder="1" applyAlignment="1">
      <alignment horizontal="center" vertical="center"/>
    </xf>
    <xf numFmtId="0" fontId="18" fillId="0" borderId="57" xfId="1819" applyFont="1" applyBorder="1" applyAlignment="1">
      <alignment horizontal="center" vertical="center"/>
    </xf>
    <xf numFmtId="0" fontId="18" fillId="0" borderId="57" xfId="1819" applyFont="1" applyBorder="1" applyAlignment="1">
      <alignment vertical="center"/>
    </xf>
    <xf numFmtId="173" fontId="18" fillId="0" borderId="57" xfId="1819" applyNumberFormat="1" applyFont="1" applyBorder="1" applyAlignment="1">
      <alignment vertical="center"/>
    </xf>
    <xf numFmtId="43" fontId="18" fillId="0" borderId="124" xfId="786" applyFont="1" applyBorder="1" applyAlignment="1">
      <alignment vertical="center"/>
    </xf>
    <xf numFmtId="43" fontId="18" fillId="0" borderId="190" xfId="786" applyFont="1" applyBorder="1" applyAlignment="1">
      <alignment horizontal="center" vertical="center"/>
    </xf>
    <xf numFmtId="0" fontId="18" fillId="0" borderId="60" xfId="1819" applyFont="1" applyBorder="1" applyAlignment="1">
      <alignment horizontal="center" vertical="center"/>
    </xf>
    <xf numFmtId="0" fontId="18" fillId="0" borderId="81" xfId="1819" applyFont="1" applyBorder="1" applyAlignment="1">
      <alignment vertical="center"/>
    </xf>
    <xf numFmtId="0" fontId="18" fillId="0" borderId="0" xfId="1819" applyFont="1" applyAlignment="1">
      <alignment vertical="center"/>
    </xf>
    <xf numFmtId="0" fontId="18" fillId="0" borderId="0" xfId="1819" applyFont="1"/>
    <xf numFmtId="0" fontId="18" fillId="0" borderId="69" xfId="1819" applyFont="1" applyBorder="1" applyAlignment="1">
      <alignment horizontal="center" vertical="center"/>
    </xf>
    <xf numFmtId="0" fontId="154" fillId="0" borderId="69" xfId="1819" applyFont="1" applyBorder="1" applyAlignment="1">
      <alignment vertical="center"/>
    </xf>
    <xf numFmtId="0" fontId="154" fillId="0" borderId="69" xfId="1819" applyFont="1" applyBorder="1" applyAlignment="1">
      <alignment horizontal="center" vertical="center"/>
    </xf>
    <xf numFmtId="173" fontId="154" fillId="0" borderId="69" xfId="1819" applyNumberFormat="1" applyFont="1" applyBorder="1" applyAlignment="1">
      <alignment vertical="center"/>
    </xf>
    <xf numFmtId="43" fontId="154" fillId="0" borderId="191" xfId="786" applyFont="1" applyBorder="1" applyAlignment="1">
      <alignment vertical="center"/>
    </xf>
    <xf numFmtId="43" fontId="18" fillId="0" borderId="192" xfId="786" applyFont="1" applyBorder="1" applyAlignment="1">
      <alignment horizontal="center" vertical="center"/>
    </xf>
    <xf numFmtId="0" fontId="18" fillId="0" borderId="0" xfId="1819" applyFont="1" applyBorder="1" applyAlignment="1">
      <alignment horizontal="center" vertical="center"/>
    </xf>
    <xf numFmtId="0" fontId="154" fillId="0" borderId="0" xfId="1819" applyFont="1" applyBorder="1" applyAlignment="1">
      <alignment vertical="center"/>
    </xf>
    <xf numFmtId="0" fontId="154" fillId="0" borderId="0" xfId="1819" applyFont="1" applyBorder="1" applyAlignment="1">
      <alignment horizontal="center" vertical="center"/>
    </xf>
    <xf numFmtId="173" fontId="154" fillId="0" borderId="0" xfId="1819" applyNumberFormat="1" applyFont="1" applyBorder="1" applyAlignment="1">
      <alignment vertical="center"/>
    </xf>
    <xf numFmtId="43" fontId="154" fillId="0" borderId="0" xfId="786" applyFont="1" applyBorder="1" applyAlignment="1">
      <alignment vertical="center"/>
    </xf>
    <xf numFmtId="43" fontId="18" fillId="0" borderId="0" xfId="786" applyFont="1" applyBorder="1" applyAlignment="1">
      <alignment horizontal="center" vertical="center"/>
    </xf>
    <xf numFmtId="0" fontId="5" fillId="0" borderId="452" xfId="0" applyFont="1" applyFill="1" applyBorder="1" applyAlignment="1">
      <alignment horizontal="center" vertical="center"/>
    </xf>
    <xf numFmtId="43" fontId="224" fillId="0" borderId="47" xfId="786" applyFont="1" applyFill="1" applyBorder="1" applyAlignment="1">
      <alignment horizontal="left" vertical="center"/>
    </xf>
    <xf numFmtId="0" fontId="5" fillId="0" borderId="454" xfId="0" applyFont="1" applyBorder="1" applyAlignment="1">
      <alignment horizontal="left" vertical="center"/>
    </xf>
    <xf numFmtId="0" fontId="5" fillId="0" borderId="454" xfId="0" applyFont="1" applyBorder="1" applyAlignment="1">
      <alignment horizontal="center" vertical="center"/>
    </xf>
    <xf numFmtId="0" fontId="5" fillId="0" borderId="453" xfId="0" applyFont="1" applyBorder="1" applyAlignment="1">
      <alignment horizontal="center" vertical="center"/>
    </xf>
    <xf numFmtId="0" fontId="18" fillId="0" borderId="451" xfId="0" applyFont="1" applyBorder="1"/>
    <xf numFmtId="0" fontId="18" fillId="0" borderId="450" xfId="0" applyFont="1" applyBorder="1" applyAlignment="1">
      <alignment horizontal="center"/>
    </xf>
    <xf numFmtId="0" fontId="5" fillId="0" borderId="389" xfId="0" applyFont="1" applyBorder="1" applyAlignment="1">
      <alignment horizontal="left" vertical="center"/>
    </xf>
    <xf numFmtId="0" fontId="5" fillId="0" borderId="389" xfId="0" applyFont="1" applyBorder="1" applyAlignment="1">
      <alignment horizontal="center" vertical="center"/>
    </xf>
    <xf numFmtId="0" fontId="5" fillId="0" borderId="382" xfId="0" applyFont="1" applyBorder="1" applyAlignment="1">
      <alignment horizontal="center" vertical="center"/>
    </xf>
    <xf numFmtId="0" fontId="5" fillId="0" borderId="172" xfId="0" applyFont="1" applyFill="1" applyBorder="1" applyAlignment="1">
      <alignment horizontal="center" vertical="center"/>
    </xf>
    <xf numFmtId="0" fontId="5" fillId="0" borderId="173" xfId="0" applyFont="1" applyBorder="1" applyAlignment="1">
      <alignment horizontal="left" vertical="center"/>
    </xf>
    <xf numFmtId="0" fontId="5" fillId="0" borderId="173" xfId="0" applyFont="1" applyBorder="1" applyAlignment="1">
      <alignment horizontal="center" vertical="center"/>
    </xf>
    <xf numFmtId="173" fontId="5" fillId="0" borderId="173" xfId="786" applyNumberFormat="1" applyFont="1" applyFill="1" applyBorder="1" applyAlignment="1">
      <alignment horizontal="center" vertical="center"/>
    </xf>
    <xf numFmtId="173" fontId="5" fillId="0" borderId="0" xfId="0" applyNumberFormat="1" applyFont="1"/>
    <xf numFmtId="43" fontId="5" fillId="0" borderId="0" xfId="786" applyFont="1"/>
    <xf numFmtId="0" fontId="5" fillId="0" borderId="51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173" fontId="5" fillId="0" borderId="51" xfId="786" applyNumberFormat="1" applyFont="1" applyFill="1" applyBorder="1" applyAlignment="1">
      <alignment horizontal="center" vertical="center"/>
    </xf>
    <xf numFmtId="43" fontId="5" fillId="0" borderId="51" xfId="786" applyFont="1" applyFill="1" applyBorder="1" applyAlignment="1">
      <alignment horizontal="center" vertical="center"/>
    </xf>
    <xf numFmtId="1" fontId="18" fillId="0" borderId="51" xfId="0" applyNumberFormat="1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173" fontId="18" fillId="0" borderId="51" xfId="786" applyNumberFormat="1" applyFont="1" applyFill="1" applyBorder="1" applyAlignment="1">
      <alignment horizontal="center" vertical="center"/>
    </xf>
    <xf numFmtId="173" fontId="154" fillId="0" borderId="189" xfId="786" applyNumberFormat="1" applyFont="1" applyBorder="1" applyAlignment="1">
      <alignment vertical="center"/>
    </xf>
    <xf numFmtId="173" fontId="18" fillId="0" borderId="57" xfId="786" applyNumberFormat="1" applyFont="1" applyBorder="1" applyAlignment="1">
      <alignment vertical="center"/>
    </xf>
    <xf numFmtId="173" fontId="154" fillId="0" borderId="69" xfId="786" applyNumberFormat="1" applyFont="1" applyBorder="1" applyAlignment="1">
      <alignment vertical="center"/>
    </xf>
    <xf numFmtId="43" fontId="18" fillId="0" borderId="51" xfId="1820" applyFont="1" applyFill="1" applyBorder="1" applyAlignment="1">
      <alignment horizontal="center" vertical="center"/>
    </xf>
    <xf numFmtId="0" fontId="5" fillId="0" borderId="178" xfId="0" applyFont="1" applyBorder="1" applyAlignment="1">
      <alignment horizontal="left" vertical="center"/>
    </xf>
    <xf numFmtId="0" fontId="5" fillId="0" borderId="176" xfId="0" applyFont="1" applyBorder="1" applyAlignment="1">
      <alignment horizontal="center" vertical="center"/>
    </xf>
    <xf numFmtId="173" fontId="5" fillId="0" borderId="176" xfId="786" applyNumberFormat="1" applyFont="1" applyFill="1" applyBorder="1" applyAlignment="1">
      <alignment horizontal="center" vertical="center"/>
    </xf>
    <xf numFmtId="0" fontId="5" fillId="0" borderId="177" xfId="0" applyFont="1" applyFill="1" applyBorder="1" applyAlignment="1">
      <alignment horizontal="center" vertical="center"/>
    </xf>
    <xf numFmtId="0" fontId="5" fillId="0" borderId="179" xfId="0" applyFont="1" applyBorder="1" applyAlignment="1">
      <alignment horizontal="left" vertical="center"/>
    </xf>
    <xf numFmtId="0" fontId="5" fillId="0" borderId="180" xfId="0" applyFont="1" applyBorder="1" applyAlignment="1">
      <alignment horizontal="center" vertical="center"/>
    </xf>
    <xf numFmtId="173" fontId="5" fillId="0" borderId="180" xfId="786" applyNumberFormat="1" applyFont="1" applyFill="1" applyBorder="1" applyAlignment="1">
      <alignment horizontal="center" vertical="center"/>
    </xf>
    <xf numFmtId="43" fontId="5" fillId="0" borderId="78" xfId="786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3" fontId="6" fillId="0" borderId="0" xfId="0" applyNumberFormat="1" applyFont="1" applyAlignment="1">
      <alignment vertical="center" wrapText="1"/>
    </xf>
    <xf numFmtId="43" fontId="6" fillId="0" borderId="0" xfId="786" applyFont="1" applyAlignment="1">
      <alignment vertical="center" wrapText="1"/>
    </xf>
    <xf numFmtId="0" fontId="5" fillId="0" borderId="224" xfId="0" applyFont="1" applyBorder="1" applyAlignment="1">
      <alignment horizontal="center" vertical="center"/>
    </xf>
    <xf numFmtId="0" fontId="5" fillId="0" borderId="225" xfId="0" applyFont="1" applyBorder="1" applyAlignment="1">
      <alignment horizontal="left" vertical="center"/>
    </xf>
    <xf numFmtId="173" fontId="5" fillId="0" borderId="224" xfId="1820" applyNumberFormat="1" applyFont="1" applyFill="1" applyBorder="1" applyAlignment="1">
      <alignment horizontal="center" vertical="center"/>
    </xf>
    <xf numFmtId="43" fontId="5" fillId="0" borderId="224" xfId="1820" applyFont="1" applyFill="1" applyBorder="1" applyAlignment="1">
      <alignment horizontal="center" vertical="center"/>
    </xf>
    <xf numFmtId="43" fontId="5" fillId="0" borderId="224" xfId="786" applyFont="1" applyFill="1" applyBorder="1" applyAlignment="1">
      <alignment horizontal="center" vertical="center"/>
    </xf>
    <xf numFmtId="1" fontId="5" fillId="0" borderId="78" xfId="0" applyNumberFormat="1" applyFont="1" applyBorder="1" applyAlignment="1">
      <alignment horizontal="center" vertical="center"/>
    </xf>
    <xf numFmtId="0" fontId="5" fillId="0" borderId="93" xfId="0" applyFont="1" applyBorder="1" applyAlignment="1">
      <alignment horizontal="left" vertical="center"/>
    </xf>
    <xf numFmtId="0" fontId="5" fillId="0" borderId="78" xfId="0" applyFont="1" applyBorder="1" applyAlignment="1">
      <alignment horizontal="center" vertical="center"/>
    </xf>
    <xf numFmtId="173" fontId="5" fillId="0" borderId="78" xfId="1820" applyNumberFormat="1" applyFont="1" applyFill="1" applyBorder="1" applyAlignment="1">
      <alignment horizontal="center" vertical="center"/>
    </xf>
    <xf numFmtId="1" fontId="5" fillId="0" borderId="182" xfId="0" applyNumberFormat="1" applyFont="1" applyBorder="1" applyAlignment="1">
      <alignment horizontal="center" vertical="center"/>
    </xf>
    <xf numFmtId="0" fontId="5" fillId="0" borderId="223" xfId="0" applyFont="1" applyBorder="1" applyAlignment="1">
      <alignment horizontal="left" vertical="center"/>
    </xf>
    <xf numFmtId="0" fontId="5" fillId="0" borderId="182" xfId="0" applyFont="1" applyBorder="1" applyAlignment="1">
      <alignment horizontal="center" vertical="center"/>
    </xf>
    <xf numFmtId="173" fontId="5" fillId="0" borderId="182" xfId="1820" applyNumberFormat="1" applyFont="1" applyFill="1" applyBorder="1" applyAlignment="1">
      <alignment horizontal="center" vertical="center"/>
    </xf>
    <xf numFmtId="43" fontId="5" fillId="0" borderId="182" xfId="786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0" borderId="189" xfId="0" applyFont="1" applyBorder="1" applyAlignment="1">
      <alignment vertical="center"/>
    </xf>
    <xf numFmtId="0" fontId="6" fillId="0" borderId="189" xfId="0" applyFont="1" applyBorder="1" applyAlignment="1">
      <alignment horizontal="center" vertical="center"/>
    </xf>
    <xf numFmtId="173" fontId="6" fillId="0" borderId="189" xfId="0" applyNumberFormat="1" applyFont="1" applyBorder="1" applyAlignment="1">
      <alignment vertical="center"/>
    </xf>
    <xf numFmtId="43" fontId="6" fillId="0" borderId="56" xfId="786" applyFont="1" applyBorder="1" applyAlignment="1">
      <alignment vertical="center"/>
    </xf>
    <xf numFmtId="43" fontId="6" fillId="0" borderId="190" xfId="786" applyFont="1" applyBorder="1" applyAlignment="1">
      <alignment horizontal="center" vertical="center"/>
    </xf>
    <xf numFmtId="0" fontId="5" fillId="0" borderId="181" xfId="0" applyFont="1" applyBorder="1" applyAlignment="1">
      <alignment horizontal="center" vertical="center"/>
    </xf>
    <xf numFmtId="0" fontId="5" fillId="0" borderId="222" xfId="0" applyFont="1" applyBorder="1" applyAlignment="1">
      <alignment horizontal="left" vertical="center"/>
    </xf>
    <xf numFmtId="173" fontId="5" fillId="0" borderId="181" xfId="1820" applyNumberFormat="1" applyFont="1" applyFill="1" applyBorder="1" applyAlignment="1">
      <alignment horizontal="center" vertical="center"/>
    </xf>
    <xf numFmtId="43" fontId="5" fillId="0" borderId="181" xfId="786" applyFont="1" applyFill="1" applyBorder="1" applyAlignment="1">
      <alignment horizontal="center" vertical="center"/>
    </xf>
    <xf numFmtId="173" fontId="5" fillId="0" borderId="51" xfId="1820" applyNumberFormat="1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173" fontId="5" fillId="0" borderId="57" xfId="0" applyNumberFormat="1" applyFont="1" applyBorder="1" applyAlignment="1">
      <alignment vertical="center"/>
    </xf>
    <xf numFmtId="43" fontId="5" fillId="0" borderId="124" xfId="786" applyFont="1" applyBorder="1" applyAlignment="1">
      <alignment vertical="center"/>
    </xf>
    <xf numFmtId="43" fontId="5" fillId="0" borderId="190" xfId="786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8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6" fillId="0" borderId="69" xfId="0" applyFont="1" applyBorder="1" applyAlignment="1">
      <alignment vertical="center"/>
    </xf>
    <xf numFmtId="0" fontId="6" fillId="0" borderId="69" xfId="0" applyFont="1" applyBorder="1" applyAlignment="1">
      <alignment horizontal="center" vertical="center"/>
    </xf>
    <xf numFmtId="173" fontId="6" fillId="0" borderId="69" xfId="0" applyNumberFormat="1" applyFont="1" applyBorder="1" applyAlignment="1">
      <alignment vertical="center"/>
    </xf>
    <xf numFmtId="43" fontId="6" fillId="0" borderId="191" xfId="786" applyFont="1" applyBorder="1" applyAlignment="1">
      <alignment vertical="center"/>
    </xf>
    <xf numFmtId="43" fontId="5" fillId="0" borderId="192" xfId="786" applyFont="1" applyBorder="1" applyAlignment="1">
      <alignment horizontal="center" vertical="center"/>
    </xf>
    <xf numFmtId="1" fontId="5" fillId="0" borderId="51" xfId="0" applyNumberFormat="1" applyFont="1" applyBorder="1" applyAlignment="1">
      <alignment horizontal="center" vertical="center"/>
    </xf>
    <xf numFmtId="43" fontId="5" fillId="0" borderId="181" xfId="1820" applyFont="1" applyFill="1" applyBorder="1" applyAlignment="1">
      <alignment horizontal="center" vertical="center"/>
    </xf>
    <xf numFmtId="41" fontId="5" fillId="0" borderId="223" xfId="0" applyNumberFormat="1" applyFont="1" applyBorder="1" applyAlignment="1">
      <alignment horizontal="left" vertical="center"/>
    </xf>
    <xf numFmtId="0" fontId="6" fillId="0" borderId="56" xfId="0" applyFont="1" applyBorder="1" applyAlignment="1">
      <alignment vertical="center"/>
    </xf>
    <xf numFmtId="43" fontId="5" fillId="0" borderId="182" xfId="1820" applyFont="1" applyFill="1" applyBorder="1" applyAlignment="1">
      <alignment horizontal="center" vertical="center"/>
    </xf>
    <xf numFmtId="43" fontId="5" fillId="0" borderId="182" xfId="786" applyFont="1" applyFill="1" applyBorder="1" applyAlignment="1">
      <alignment horizontal="center" vertical="center"/>
    </xf>
    <xf numFmtId="0" fontId="5" fillId="0" borderId="124" xfId="0" applyFont="1" applyBorder="1" applyAlignment="1">
      <alignment vertical="center"/>
    </xf>
    <xf numFmtId="10" fontId="5" fillId="0" borderId="0" xfId="0" applyNumberFormat="1" applyFont="1" applyAlignment="1">
      <alignment horizontal="center" vertical="center"/>
    </xf>
    <xf numFmtId="43" fontId="5" fillId="0" borderId="217" xfId="786" applyFont="1" applyBorder="1" applyAlignment="1">
      <alignment horizontal="center" vertical="center"/>
    </xf>
    <xf numFmtId="0" fontId="6" fillId="0" borderId="19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3" fontId="6" fillId="0" borderId="0" xfId="0" applyNumberFormat="1" applyFont="1" applyBorder="1" applyAlignment="1">
      <alignment vertical="center"/>
    </xf>
    <xf numFmtId="43" fontId="6" fillId="0" borderId="0" xfId="786" applyFont="1" applyBorder="1" applyAlignment="1">
      <alignment vertical="center"/>
    </xf>
    <xf numFmtId="43" fontId="5" fillId="0" borderId="0" xfId="786" applyFont="1" applyBorder="1" applyAlignment="1">
      <alignment horizontal="center" vertical="center"/>
    </xf>
    <xf numFmtId="0" fontId="6" fillId="0" borderId="223" xfId="0" applyFont="1" applyBorder="1" applyAlignment="1">
      <alignment vertical="center"/>
    </xf>
    <xf numFmtId="0" fontId="6" fillId="0" borderId="287" xfId="0" applyFont="1" applyBorder="1" applyAlignment="1">
      <alignment vertical="center"/>
    </xf>
    <xf numFmtId="0" fontId="6" fillId="0" borderId="287" xfId="0" applyFont="1" applyBorder="1" applyAlignment="1">
      <alignment horizontal="center" vertical="center"/>
    </xf>
    <xf numFmtId="173" fontId="6" fillId="0" borderId="287" xfId="0" applyNumberFormat="1" applyFont="1" applyBorder="1" applyAlignment="1">
      <alignment vertical="center"/>
    </xf>
    <xf numFmtId="43" fontId="6" fillId="0" borderId="288" xfId="786" applyFont="1" applyBorder="1" applyAlignment="1">
      <alignment vertical="center"/>
    </xf>
    <xf numFmtId="43" fontId="6" fillId="0" borderId="289" xfId="786" applyFont="1" applyBorder="1" applyAlignment="1">
      <alignment horizontal="center" vertical="center"/>
    </xf>
    <xf numFmtId="0" fontId="6" fillId="0" borderId="221" xfId="0" applyFont="1" applyBorder="1" applyAlignment="1">
      <alignment vertical="center"/>
    </xf>
    <xf numFmtId="0" fontId="5" fillId="0" borderId="0" xfId="0" applyFont="1" applyBorder="1"/>
    <xf numFmtId="173" fontId="5" fillId="0" borderId="0" xfId="0" applyNumberFormat="1" applyFont="1" applyBorder="1"/>
    <xf numFmtId="43" fontId="5" fillId="0" borderId="0" xfId="786" applyFont="1" applyBorder="1"/>
    <xf numFmtId="0" fontId="6" fillId="0" borderId="50" xfId="0" applyFont="1" applyBorder="1" applyAlignment="1">
      <alignment vertical="center"/>
    </xf>
    <xf numFmtId="0" fontId="6" fillId="0" borderId="50" xfId="0" applyFont="1" applyBorder="1" applyAlignment="1">
      <alignment vertical="center" wrapText="1"/>
    </xf>
    <xf numFmtId="0" fontId="6" fillId="0" borderId="50" xfId="0" applyFont="1" applyBorder="1" applyAlignment="1">
      <alignment horizontal="center" vertical="center" wrapText="1"/>
    </xf>
    <xf numFmtId="173" fontId="6" fillId="0" borderId="50" xfId="0" applyNumberFormat="1" applyFont="1" applyBorder="1" applyAlignment="1">
      <alignment vertical="center" wrapText="1"/>
    </xf>
    <xf numFmtId="43" fontId="6" fillId="0" borderId="50" xfId="786" applyFont="1" applyBorder="1" applyAlignment="1">
      <alignment vertical="center" wrapText="1"/>
    </xf>
    <xf numFmtId="43" fontId="5" fillId="0" borderId="51" xfId="1820" applyFont="1" applyFill="1" applyBorder="1" applyAlignment="1">
      <alignment horizontal="center" vertical="center"/>
    </xf>
    <xf numFmtId="44" fontId="5" fillId="0" borderId="181" xfId="1816" applyNumberFormat="1" applyFont="1" applyBorder="1" applyAlignment="1">
      <alignment horizontal="center" vertical="center"/>
    </xf>
    <xf numFmtId="43" fontId="5" fillId="0" borderId="181" xfId="786" applyFont="1" applyBorder="1" applyAlignment="1">
      <alignment horizontal="center" vertical="center"/>
    </xf>
    <xf numFmtId="44" fontId="5" fillId="0" borderId="78" xfId="1816" applyNumberFormat="1" applyFont="1" applyBorder="1" applyAlignment="1">
      <alignment horizontal="center" vertical="center"/>
    </xf>
    <xf numFmtId="44" fontId="5" fillId="0" borderId="182" xfId="1816" applyNumberFormat="1" applyFont="1" applyBorder="1" applyAlignment="1">
      <alignment horizontal="center" vertical="center"/>
    </xf>
    <xf numFmtId="0" fontId="6" fillId="0" borderId="226" xfId="0" applyFont="1" applyBorder="1" applyAlignment="1">
      <alignment vertical="center"/>
    </xf>
    <xf numFmtId="43" fontId="29" fillId="0" borderId="51" xfId="786" applyFont="1" applyBorder="1" applyAlignment="1">
      <alignment horizontal="left" vertical="center" wrapText="1"/>
    </xf>
    <xf numFmtId="0" fontId="6" fillId="0" borderId="215" xfId="0" applyFont="1" applyBorder="1" applyAlignment="1">
      <alignment vertical="center"/>
    </xf>
    <xf numFmtId="0" fontId="6" fillId="0" borderId="215" xfId="0" applyFont="1" applyBorder="1" applyAlignment="1">
      <alignment vertical="center" wrapText="1"/>
    </xf>
    <xf numFmtId="0" fontId="6" fillId="0" borderId="215" xfId="0" applyFont="1" applyBorder="1" applyAlignment="1">
      <alignment horizontal="center" vertical="center" wrapText="1"/>
    </xf>
    <xf numFmtId="173" fontId="6" fillId="0" borderId="215" xfId="0" applyNumberFormat="1" applyFont="1" applyBorder="1" applyAlignment="1">
      <alignment vertical="center" wrapText="1"/>
    </xf>
    <xf numFmtId="43" fontId="6" fillId="0" borderId="215" xfId="786" applyFont="1" applyBorder="1" applyAlignment="1">
      <alignment vertical="center" wrapText="1"/>
    </xf>
    <xf numFmtId="0" fontId="6" fillId="0" borderId="189" xfId="0" applyFont="1" applyBorder="1" applyAlignment="1">
      <alignment vertical="center" wrapText="1"/>
    </xf>
    <xf numFmtId="0" fontId="6" fillId="0" borderId="189" xfId="0" applyFont="1" applyBorder="1" applyAlignment="1">
      <alignment horizontal="center" vertical="center" wrapText="1"/>
    </xf>
    <xf numFmtId="173" fontId="6" fillId="0" borderId="189" xfId="0" applyNumberFormat="1" applyFont="1" applyBorder="1" applyAlignment="1">
      <alignment vertical="center" wrapText="1"/>
    </xf>
    <xf numFmtId="43" fontId="6" fillId="0" borderId="189" xfId="786" applyFont="1" applyBorder="1" applyAlignment="1">
      <alignment vertical="center" wrapText="1"/>
    </xf>
    <xf numFmtId="0" fontId="5" fillId="0" borderId="226" xfId="0" applyFont="1" applyBorder="1"/>
    <xf numFmtId="173" fontId="5" fillId="0" borderId="226" xfId="0" applyNumberFormat="1" applyFont="1" applyBorder="1"/>
    <xf numFmtId="43" fontId="5" fillId="0" borderId="226" xfId="786" applyFont="1" applyBorder="1"/>
    <xf numFmtId="0" fontId="5" fillId="0" borderId="215" xfId="0" applyFont="1" applyBorder="1" applyAlignment="1">
      <alignment horizontal="center" vertical="center"/>
    </xf>
    <xf numFmtId="0" fontId="5" fillId="0" borderId="226" xfId="0" applyFont="1" applyBorder="1" applyAlignment="1">
      <alignment vertical="center"/>
    </xf>
    <xf numFmtId="0" fontId="5" fillId="0" borderId="226" xfId="0" applyFont="1" applyBorder="1" applyAlignment="1">
      <alignment horizontal="center" vertical="center"/>
    </xf>
    <xf numFmtId="173" fontId="5" fillId="0" borderId="226" xfId="0" applyNumberFormat="1" applyFont="1" applyBorder="1" applyAlignment="1">
      <alignment vertical="center"/>
    </xf>
    <xf numFmtId="43" fontId="5" fillId="0" borderId="226" xfId="786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215" xfId="0" applyFont="1" applyBorder="1" applyAlignment="1">
      <alignment horizontal="center" vertical="center"/>
    </xf>
    <xf numFmtId="173" fontId="6" fillId="0" borderId="215" xfId="0" applyNumberFormat="1" applyFont="1" applyBorder="1" applyAlignment="1">
      <alignment vertical="center"/>
    </xf>
    <xf numFmtId="43" fontId="6" fillId="0" borderId="215" xfId="786" applyFont="1" applyBorder="1" applyAlignment="1">
      <alignment vertical="center"/>
    </xf>
    <xf numFmtId="43" fontId="30" fillId="0" borderId="300" xfId="786" applyFont="1" applyBorder="1" applyAlignment="1">
      <alignment horizontal="center" vertical="center"/>
    </xf>
    <xf numFmtId="43" fontId="30" fillId="0" borderId="301" xfId="786" applyFont="1" applyBorder="1" applyAlignment="1">
      <alignment horizontal="left" vertical="center"/>
    </xf>
    <xf numFmtId="43" fontId="29" fillId="0" borderId="301" xfId="786" applyFont="1" applyBorder="1" applyAlignment="1">
      <alignment horizontal="left" vertical="center"/>
    </xf>
    <xf numFmtId="43" fontId="29" fillId="0" borderId="335" xfId="786" applyFont="1" applyBorder="1" applyAlignment="1">
      <alignment horizontal="center" vertical="center"/>
    </xf>
    <xf numFmtId="43" fontId="29" fillId="0" borderId="336" xfId="786" applyFont="1" applyBorder="1" applyAlignment="1">
      <alignment horizontal="center" vertical="center"/>
    </xf>
    <xf numFmtId="43" fontId="29" fillId="0" borderId="375" xfId="786" applyFont="1" applyBorder="1" applyAlignment="1">
      <alignment horizontal="center" vertical="center"/>
    </xf>
    <xf numFmtId="43" fontId="29" fillId="0" borderId="376" xfId="786" applyFont="1" applyBorder="1" applyAlignment="1">
      <alignment horizontal="center" vertical="center"/>
    </xf>
    <xf numFmtId="43" fontId="29" fillId="0" borderId="53" xfId="786" applyFont="1" applyBorder="1" applyAlignment="1">
      <alignment horizontal="center" vertical="center"/>
    </xf>
    <xf numFmtId="43" fontId="29" fillId="0" borderId="51" xfId="786" applyFont="1" applyBorder="1" applyAlignment="1">
      <alignment horizontal="left" vertical="center"/>
    </xf>
    <xf numFmtId="43" fontId="30" fillId="0" borderId="335" xfId="786" applyFont="1" applyBorder="1" applyAlignment="1">
      <alignment horizontal="center" vertical="center"/>
    </xf>
    <xf numFmtId="233" fontId="29" fillId="0" borderId="344" xfId="786" applyNumberFormat="1" applyFont="1" applyBorder="1" applyAlignment="1">
      <alignment horizontal="left" vertical="center"/>
    </xf>
    <xf numFmtId="43" fontId="29" fillId="0" borderId="386" xfId="786" applyFont="1" applyBorder="1" applyAlignment="1">
      <alignment horizontal="left" vertical="center"/>
    </xf>
    <xf numFmtId="43" fontId="30" fillId="0" borderId="375" xfId="786" applyFont="1" applyBorder="1" applyAlignment="1">
      <alignment horizontal="center" vertical="center"/>
    </xf>
    <xf numFmtId="9" fontId="29" fillId="0" borderId="306" xfId="786" applyNumberFormat="1" applyFont="1" applyBorder="1" applyAlignment="1">
      <alignment horizontal="center" vertical="center"/>
    </xf>
    <xf numFmtId="43" fontId="29" fillId="0" borderId="382" xfId="786" applyFont="1" applyBorder="1" applyAlignment="1">
      <alignment horizontal="left" vertical="center"/>
    </xf>
    <xf numFmtId="43" fontId="29" fillId="0" borderId="308" xfId="786" applyFont="1" applyBorder="1" applyAlignment="1">
      <alignment horizontal="left" vertical="center"/>
    </xf>
    <xf numFmtId="43" fontId="29" fillId="0" borderId="416" xfId="786" applyFont="1" applyBorder="1" applyAlignment="1">
      <alignment horizontal="center" vertical="center"/>
    </xf>
    <xf numFmtId="43" fontId="29" fillId="0" borderId="417" xfId="786" applyFont="1" applyBorder="1" applyAlignment="1">
      <alignment horizontal="center" vertical="center"/>
    </xf>
    <xf numFmtId="43" fontId="30" fillId="0" borderId="418" xfId="786" applyFont="1" applyBorder="1" applyAlignment="1">
      <alignment horizontal="center" vertical="center"/>
    </xf>
    <xf numFmtId="234" fontId="30" fillId="0" borderId="419" xfId="786" applyNumberFormat="1" applyFont="1" applyBorder="1" applyAlignment="1">
      <alignment horizontal="left" vertical="center"/>
    </xf>
    <xf numFmtId="0" fontId="5" fillId="0" borderId="183" xfId="0" applyFont="1" applyFill="1" applyBorder="1" applyAlignment="1">
      <alignment horizontal="center" vertical="center"/>
    </xf>
    <xf numFmtId="43" fontId="5" fillId="0" borderId="37" xfId="786" applyFont="1" applyFill="1" applyBorder="1" applyAlignment="1">
      <alignment horizontal="center" vertical="center"/>
    </xf>
    <xf numFmtId="0" fontId="5" fillId="0" borderId="148" xfId="0" applyFont="1" applyBorder="1" applyAlignment="1">
      <alignment horizontal="left" vertical="center"/>
    </xf>
    <xf numFmtId="0" fontId="5" fillId="0" borderId="184" xfId="0" applyFont="1" applyBorder="1" applyAlignment="1">
      <alignment horizontal="center" vertical="center"/>
    </xf>
    <xf numFmtId="173" fontId="5" fillId="0" borderId="184" xfId="786" applyNumberFormat="1" applyFont="1" applyFill="1" applyBorder="1" applyAlignment="1">
      <alignment horizontal="center" vertical="center"/>
    </xf>
    <xf numFmtId="43" fontId="5" fillId="0" borderId="184" xfId="786" applyFont="1" applyBorder="1" applyAlignment="1">
      <alignment horizontal="center" vertical="center"/>
    </xf>
    <xf numFmtId="0" fontId="5" fillId="0" borderId="185" xfId="0" applyFont="1" applyBorder="1" applyAlignment="1">
      <alignment horizontal="left" vertical="center"/>
    </xf>
    <xf numFmtId="0" fontId="5" fillId="0" borderId="186" xfId="0" applyFont="1" applyBorder="1" applyAlignment="1">
      <alignment horizontal="center" vertical="center"/>
    </xf>
    <xf numFmtId="173" fontId="5" fillId="0" borderId="186" xfId="786" applyNumberFormat="1" applyFont="1" applyFill="1" applyBorder="1" applyAlignment="1">
      <alignment horizontal="center" vertical="center"/>
    </xf>
    <xf numFmtId="43" fontId="5" fillId="0" borderId="186" xfId="786" applyFont="1" applyBorder="1" applyAlignment="1">
      <alignment horizontal="center" vertical="center"/>
    </xf>
    <xf numFmtId="43" fontId="5" fillId="0" borderId="187" xfId="786" applyFont="1" applyBorder="1" applyAlignment="1">
      <alignment horizontal="center" vertical="center"/>
    </xf>
    <xf numFmtId="173" fontId="18" fillId="0" borderId="181" xfId="786" applyNumberFormat="1" applyFont="1" applyFill="1" applyBorder="1" applyAlignment="1">
      <alignment horizontal="center" vertical="center"/>
    </xf>
    <xf numFmtId="173" fontId="18" fillId="0" borderId="78" xfId="786" applyNumberFormat="1" applyFont="1" applyFill="1" applyBorder="1" applyAlignment="1">
      <alignment horizontal="center" vertical="center"/>
    </xf>
    <xf numFmtId="173" fontId="18" fillId="0" borderId="182" xfId="786" applyNumberFormat="1" applyFont="1" applyFill="1" applyBorder="1" applyAlignment="1">
      <alignment horizontal="center" vertical="center"/>
    </xf>
    <xf numFmtId="0" fontId="5" fillId="0" borderId="146" xfId="0" applyFont="1" applyBorder="1" applyAlignment="1">
      <alignment horizontal="left" vertical="center"/>
    </xf>
    <xf numFmtId="0" fontId="5" fillId="0" borderId="146" xfId="0" applyFont="1" applyBorder="1" applyAlignment="1">
      <alignment horizontal="center" vertical="center"/>
    </xf>
    <xf numFmtId="173" fontId="5" fillId="0" borderId="146" xfId="786" applyNumberFormat="1" applyFont="1" applyFill="1" applyBorder="1" applyAlignment="1">
      <alignment horizontal="center" vertical="center"/>
    </xf>
    <xf numFmtId="0" fontId="5" fillId="0" borderId="220" xfId="0" applyFont="1" applyFill="1" applyBorder="1" applyAlignment="1">
      <alignment horizontal="center" vertical="center"/>
    </xf>
    <xf numFmtId="0" fontId="5" fillId="0" borderId="219" xfId="0" applyFont="1" applyBorder="1" applyAlignment="1">
      <alignment horizontal="left" vertical="center"/>
    </xf>
    <xf numFmtId="0" fontId="5" fillId="0" borderId="219" xfId="0" applyFont="1" applyBorder="1" applyAlignment="1">
      <alignment horizontal="center" vertical="center"/>
    </xf>
    <xf numFmtId="173" fontId="5" fillId="0" borderId="219" xfId="786" applyNumberFormat="1" applyFont="1" applyFill="1" applyBorder="1" applyAlignment="1">
      <alignment horizontal="center" vertical="center"/>
    </xf>
    <xf numFmtId="43" fontId="30" fillId="52" borderId="291" xfId="786" applyFont="1" applyFill="1" applyBorder="1" applyAlignment="1">
      <alignment horizontal="center" vertical="center"/>
    </xf>
    <xf numFmtId="43" fontId="30" fillId="52" borderId="292" xfId="786" applyFont="1" applyFill="1" applyBorder="1" applyAlignment="1">
      <alignment horizontal="left" vertical="center"/>
    </xf>
    <xf numFmtId="43" fontId="29" fillId="52" borderId="292" xfId="786" applyFont="1" applyFill="1" applyBorder="1" applyAlignment="1">
      <alignment horizontal="left" vertical="center"/>
    </xf>
    <xf numFmtId="173" fontId="29" fillId="52" borderId="292" xfId="786" applyNumberFormat="1" applyFont="1" applyFill="1" applyBorder="1" applyAlignment="1">
      <alignment horizontal="left" vertical="center"/>
    </xf>
    <xf numFmtId="43" fontId="29" fillId="52" borderId="293" xfId="786" applyFont="1" applyFill="1" applyBorder="1" applyAlignment="1">
      <alignment horizontal="left" vertical="center"/>
    </xf>
    <xf numFmtId="43" fontId="29" fillId="52" borderId="294" xfId="786" applyFont="1" applyFill="1" applyBorder="1" applyAlignment="1">
      <alignment horizontal="center" vertical="center"/>
    </xf>
    <xf numFmtId="43" fontId="29" fillId="52" borderId="295" xfId="786" applyFont="1" applyFill="1" applyBorder="1" applyAlignment="1">
      <alignment horizontal="left" vertical="center"/>
    </xf>
    <xf numFmtId="43" fontId="29" fillId="52" borderId="295" xfId="786" applyFont="1" applyFill="1" applyBorder="1" applyAlignment="1">
      <alignment horizontal="center" vertical="center"/>
    </xf>
    <xf numFmtId="173" fontId="29" fillId="52" borderId="295" xfId="786" applyNumberFormat="1" applyFont="1" applyFill="1" applyBorder="1" applyAlignment="1">
      <alignment horizontal="center" vertical="center"/>
    </xf>
    <xf numFmtId="43" fontId="29" fillId="52" borderId="296" xfId="786" applyFont="1" applyFill="1" applyBorder="1" applyAlignment="1">
      <alignment horizontal="left" vertical="center"/>
    </xf>
    <xf numFmtId="43" fontId="29" fillId="52" borderId="297" xfId="786" applyFont="1" applyFill="1" applyBorder="1" applyAlignment="1">
      <alignment horizontal="center" vertical="center"/>
    </xf>
    <xf numFmtId="43" fontId="29" fillId="52" borderId="298" xfId="786" applyFont="1" applyFill="1" applyBorder="1" applyAlignment="1">
      <alignment horizontal="left" vertical="center"/>
    </xf>
    <xf numFmtId="43" fontId="29" fillId="52" borderId="298" xfId="786" applyFont="1" applyFill="1" applyBorder="1" applyAlignment="1">
      <alignment horizontal="center" vertical="center"/>
    </xf>
    <xf numFmtId="173" fontId="29" fillId="52" borderId="298" xfId="786" applyNumberFormat="1" applyFont="1" applyFill="1" applyBorder="1" applyAlignment="1">
      <alignment horizontal="center" vertical="center"/>
    </xf>
    <xf numFmtId="43" fontId="29" fillId="52" borderId="299" xfId="786" applyFont="1" applyFill="1" applyBorder="1" applyAlignment="1">
      <alignment horizontal="left" vertical="center"/>
    </xf>
    <xf numFmtId="43" fontId="29" fillId="52" borderId="53" xfId="786" applyFont="1" applyFill="1" applyBorder="1" applyAlignment="1">
      <alignment horizontal="center" vertical="center"/>
    </xf>
    <xf numFmtId="43" fontId="29" fillId="52" borderId="51" xfId="786" applyFont="1" applyFill="1" applyBorder="1" applyAlignment="1">
      <alignment horizontal="left" vertical="center"/>
    </xf>
    <xf numFmtId="43" fontId="29" fillId="52" borderId="55" xfId="786" applyFont="1" applyFill="1" applyBorder="1" applyAlignment="1">
      <alignment horizontal="left" vertical="center"/>
    </xf>
    <xf numFmtId="43" fontId="30" fillId="52" borderId="58" xfId="786" applyFont="1" applyFill="1" applyBorder="1" applyAlignment="1">
      <alignment horizontal="left" vertical="center"/>
    </xf>
    <xf numFmtId="43" fontId="30" fillId="52" borderId="300" xfId="786" applyFont="1" applyFill="1" applyBorder="1" applyAlignment="1">
      <alignment horizontal="center" vertical="center"/>
    </xf>
    <xf numFmtId="43" fontId="30" fillId="52" borderId="301" xfId="786" applyFont="1" applyFill="1" applyBorder="1" applyAlignment="1">
      <alignment horizontal="left" vertical="center"/>
    </xf>
    <xf numFmtId="43" fontId="29" fillId="52" borderId="301" xfId="786" applyFont="1" applyFill="1" applyBorder="1" applyAlignment="1">
      <alignment horizontal="left" vertical="center"/>
    </xf>
    <xf numFmtId="173" fontId="29" fillId="52" borderId="302" xfId="786" applyNumberFormat="1" applyFont="1" applyFill="1" applyBorder="1" applyAlignment="1">
      <alignment horizontal="left" vertical="center"/>
    </xf>
    <xf numFmtId="43" fontId="29" fillId="52" borderId="302" xfId="786" applyFont="1" applyFill="1" applyBorder="1" applyAlignment="1">
      <alignment horizontal="left" vertical="center"/>
    </xf>
    <xf numFmtId="43" fontId="29" fillId="52" borderId="303" xfId="786" applyFont="1" applyFill="1" applyBorder="1" applyAlignment="1">
      <alignment horizontal="left" vertical="center"/>
    </xf>
    <xf numFmtId="43" fontId="30" fillId="52" borderId="294" xfId="786" applyFont="1" applyFill="1" applyBorder="1" applyAlignment="1">
      <alignment horizontal="center" vertical="center"/>
    </xf>
    <xf numFmtId="173" fontId="29" fillId="52" borderId="304" xfId="786" applyNumberFormat="1" applyFont="1" applyFill="1" applyBorder="1" applyAlignment="1">
      <alignment horizontal="center" vertical="center"/>
    </xf>
    <xf numFmtId="43" fontId="29" fillId="0" borderId="305" xfId="786" applyFont="1" applyBorder="1" applyAlignment="1">
      <alignment horizontal="left" vertical="center"/>
    </xf>
    <xf numFmtId="43" fontId="29" fillId="52" borderId="290" xfId="786" applyFont="1" applyFill="1" applyBorder="1" applyAlignment="1">
      <alignment horizontal="left" vertical="center"/>
    </xf>
    <xf numFmtId="43" fontId="30" fillId="52" borderId="297" xfId="786" applyFont="1" applyFill="1" applyBorder="1" applyAlignment="1">
      <alignment horizontal="center" vertical="center"/>
    </xf>
    <xf numFmtId="43" fontId="29" fillId="52" borderId="298" xfId="786" applyFont="1" applyFill="1" applyBorder="1" applyAlignment="1">
      <alignment horizontal="center" vertical="top"/>
    </xf>
    <xf numFmtId="173" fontId="29" fillId="52" borderId="306" xfId="786" applyNumberFormat="1" applyFont="1" applyFill="1" applyBorder="1" applyAlignment="1">
      <alignment horizontal="center" vertical="center"/>
    </xf>
    <xf numFmtId="43" fontId="29" fillId="0" borderId="307" xfId="786" applyFont="1" applyBorder="1" applyAlignment="1">
      <alignment horizontal="left" vertical="center"/>
    </xf>
    <xf numFmtId="43" fontId="29" fillId="52" borderId="308" xfId="786" applyFont="1" applyFill="1" applyBorder="1" applyAlignment="1">
      <alignment horizontal="left" vertical="center"/>
    </xf>
    <xf numFmtId="43" fontId="30" fillId="52" borderId="54" xfId="786" applyFont="1" applyFill="1" applyBorder="1" applyAlignment="1">
      <alignment horizontal="left" vertical="center"/>
    </xf>
    <xf numFmtId="43" fontId="30" fillId="52" borderId="53" xfId="786" applyFont="1" applyFill="1" applyBorder="1" applyAlignment="1">
      <alignment horizontal="center" vertical="center"/>
    </xf>
    <xf numFmtId="43" fontId="30" fillId="52" borderId="51" xfId="786" applyFont="1" applyFill="1" applyBorder="1" applyAlignment="1">
      <alignment horizontal="left" vertical="center"/>
    </xf>
    <xf numFmtId="173" fontId="29" fillId="52" borderId="51" xfId="786" applyNumberFormat="1" applyFont="1" applyFill="1" applyBorder="1" applyAlignment="1">
      <alignment horizontal="left" vertical="center"/>
    </xf>
    <xf numFmtId="43" fontId="29" fillId="52" borderId="54" xfId="786" applyFont="1" applyFill="1" applyBorder="1" applyAlignment="1">
      <alignment horizontal="left" vertical="center"/>
    </xf>
    <xf numFmtId="43" fontId="29" fillId="52" borderId="51" xfId="786" applyFont="1" applyFill="1" applyBorder="1" applyAlignment="1">
      <alignment horizontal="left" vertical="center" wrapText="1"/>
    </xf>
    <xf numFmtId="43" fontId="29" fillId="52" borderId="51" xfId="786" applyFont="1" applyFill="1" applyBorder="1" applyAlignment="1">
      <alignment horizontal="center" vertical="center"/>
    </xf>
    <xf numFmtId="43" fontId="30" fillId="52" borderId="61" xfId="786" applyFont="1" applyFill="1" applyBorder="1" applyAlignment="1">
      <alignment horizontal="center" vertical="center"/>
    </xf>
    <xf numFmtId="43" fontId="30" fillId="52" borderId="63" xfId="786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/>
    </xf>
    <xf numFmtId="43" fontId="30" fillId="0" borderId="63" xfId="786" applyFont="1" applyBorder="1" applyAlignment="1">
      <alignment horizontal="left" vertical="center"/>
    </xf>
    <xf numFmtId="43" fontId="30" fillId="0" borderId="291" xfId="786" applyFont="1" applyBorder="1" applyAlignment="1">
      <alignment horizontal="center" vertical="center"/>
    </xf>
    <xf numFmtId="43" fontId="30" fillId="0" borderId="292" xfId="786" applyFont="1" applyBorder="1" applyAlignment="1">
      <alignment horizontal="left" vertical="center"/>
    </xf>
    <xf numFmtId="43" fontId="29" fillId="0" borderId="292" xfId="786" applyFont="1" applyBorder="1" applyAlignment="1">
      <alignment horizontal="left" vertical="center"/>
    </xf>
    <xf numFmtId="43" fontId="29" fillId="0" borderId="297" xfId="786" applyFont="1" applyBorder="1" applyAlignment="1">
      <alignment horizontal="center" vertical="center"/>
    </xf>
    <xf numFmtId="43" fontId="29" fillId="0" borderId="298" xfId="786" applyFont="1" applyBorder="1" applyAlignment="1">
      <alignment horizontal="left" vertical="center"/>
    </xf>
    <xf numFmtId="43" fontId="29" fillId="0" borderId="298" xfId="786" applyFont="1" applyBorder="1" applyAlignment="1">
      <alignment horizontal="center" vertical="center"/>
    </xf>
    <xf numFmtId="233" fontId="29" fillId="0" borderId="298" xfId="786" applyNumberFormat="1" applyFont="1" applyBorder="1" applyAlignment="1">
      <alignment horizontal="center" vertical="center"/>
    </xf>
    <xf numFmtId="43" fontId="29" fillId="0" borderId="299" xfId="786" applyFont="1" applyBorder="1" applyAlignment="1">
      <alignment horizontal="left" vertical="center"/>
    </xf>
    <xf numFmtId="43" fontId="30" fillId="0" borderId="53" xfId="786" applyFont="1" applyBorder="1" applyAlignment="1">
      <alignment horizontal="center" vertical="center"/>
    </xf>
    <xf numFmtId="43" fontId="30" fillId="0" borderId="51" xfId="786" applyFont="1" applyBorder="1" applyAlignment="1">
      <alignment horizontal="left" vertical="center"/>
    </xf>
    <xf numFmtId="233" fontId="29" fillId="0" borderId="51" xfId="786" applyNumberFormat="1" applyFont="1" applyBorder="1" applyAlignment="1">
      <alignment horizontal="left" vertical="center"/>
    </xf>
    <xf numFmtId="233" fontId="29" fillId="0" borderId="57" xfId="786" applyNumberFormat="1" applyFont="1" applyBorder="1" applyAlignment="1">
      <alignment horizontal="left" vertical="center"/>
    </xf>
    <xf numFmtId="43" fontId="226" fillId="0" borderId="301" xfId="786" applyFont="1" applyFill="1" applyBorder="1" applyAlignment="1">
      <alignment horizontal="left" vertical="center"/>
    </xf>
    <xf numFmtId="43" fontId="29" fillId="0" borderId="301" xfId="786" applyFont="1" applyFill="1" applyBorder="1" applyAlignment="1">
      <alignment horizontal="center" vertical="top"/>
    </xf>
    <xf numFmtId="233" fontId="29" fillId="0" borderId="342" xfId="786" applyNumberFormat="1" applyFont="1" applyFill="1" applyBorder="1" applyAlignment="1">
      <alignment horizontal="left" vertical="center"/>
    </xf>
    <xf numFmtId="43" fontId="29" fillId="0" borderId="37" xfId="786" applyFont="1" applyBorder="1" applyAlignment="1">
      <alignment horizontal="left" vertical="center"/>
    </xf>
    <xf numFmtId="43" fontId="29" fillId="0" borderId="343" xfId="786" applyFont="1" applyFill="1" applyBorder="1" applyAlignment="1">
      <alignment horizontal="left" vertical="center"/>
    </xf>
    <xf numFmtId="43" fontId="226" fillId="0" borderId="336" xfId="786" applyFont="1" applyFill="1" applyBorder="1" applyAlignment="1">
      <alignment horizontal="left" vertical="center"/>
    </xf>
    <xf numFmtId="233" fontId="29" fillId="0" borderId="344" xfId="786" applyNumberFormat="1" applyFont="1" applyFill="1" applyBorder="1" applyAlignment="1">
      <alignment horizontal="left" vertical="center"/>
    </xf>
    <xf numFmtId="43" fontId="29" fillId="0" borderId="345" xfId="786" applyFont="1" applyBorder="1" applyAlignment="1">
      <alignment horizontal="left" vertical="center"/>
    </xf>
    <xf numFmtId="43" fontId="29" fillId="0" borderId="337" xfId="786" applyFont="1" applyFill="1" applyBorder="1" applyAlignment="1">
      <alignment horizontal="left" vertical="center"/>
    </xf>
    <xf numFmtId="43" fontId="30" fillId="0" borderId="297" xfId="786" applyFont="1" applyBorder="1" applyAlignment="1">
      <alignment horizontal="center" vertical="center"/>
    </xf>
    <xf numFmtId="43" fontId="226" fillId="0" borderId="298" xfId="786" applyFont="1" applyBorder="1" applyAlignment="1">
      <alignment horizontal="left" vertical="center"/>
    </xf>
    <xf numFmtId="43" fontId="29" fillId="0" borderId="298" xfId="786" applyFont="1" applyBorder="1" applyAlignment="1">
      <alignment horizontal="center" vertical="top"/>
    </xf>
    <xf numFmtId="233" fontId="29" fillId="0" borderId="306" xfId="786" applyNumberFormat="1" applyFont="1" applyBorder="1" applyAlignment="1">
      <alignment horizontal="left" vertical="center"/>
    </xf>
    <xf numFmtId="43" fontId="29" fillId="0" borderId="300" xfId="786" applyFont="1" applyBorder="1" applyAlignment="1">
      <alignment horizontal="center" vertical="center"/>
    </xf>
    <xf numFmtId="43" fontId="29" fillId="0" borderId="339" xfId="786" applyFont="1" applyBorder="1" applyAlignment="1">
      <alignment horizontal="left" vertical="center"/>
    </xf>
    <xf numFmtId="43" fontId="5" fillId="0" borderId="337" xfId="786" applyFont="1" applyFill="1" applyBorder="1" applyAlignment="1">
      <alignment horizontal="right" vertical="center"/>
    </xf>
    <xf numFmtId="43" fontId="5" fillId="0" borderId="340" xfId="786" applyFont="1" applyFill="1" applyBorder="1" applyAlignment="1">
      <alignment horizontal="right" vertical="center"/>
    </xf>
    <xf numFmtId="43" fontId="30" fillId="0" borderId="338" xfId="786" applyFont="1" applyBorder="1" applyAlignment="1">
      <alignment horizontal="center" vertical="center"/>
    </xf>
    <xf numFmtId="43" fontId="30" fillId="0" borderId="289" xfId="786" applyFont="1" applyBorder="1" applyAlignment="1">
      <alignment horizontal="left" vertical="center"/>
    </xf>
    <xf numFmtId="0" fontId="154" fillId="0" borderId="351" xfId="1851" applyFont="1" applyBorder="1"/>
    <xf numFmtId="43" fontId="18" fillId="0" borderId="351" xfId="1848" applyFont="1" applyBorder="1" applyAlignment="1">
      <alignment horizontal="left" vertical="center"/>
    </xf>
    <xf numFmtId="0" fontId="18" fillId="0" borderId="415" xfId="0" applyFont="1" applyBorder="1"/>
    <xf numFmtId="173" fontId="18" fillId="0" borderId="415" xfId="0" applyNumberFormat="1" applyFont="1" applyBorder="1"/>
    <xf numFmtId="43" fontId="18" fillId="0" borderId="415" xfId="786" applyFont="1" applyBorder="1"/>
    <xf numFmtId="0" fontId="154" fillId="0" borderId="50" xfId="0" applyFont="1" applyBorder="1" applyAlignment="1">
      <alignment vertical="center"/>
    </xf>
    <xf numFmtId="0" fontId="154" fillId="0" borderId="50" xfId="0" applyFont="1" applyBorder="1" applyAlignment="1">
      <alignment vertical="center" wrapText="1"/>
    </xf>
    <xf numFmtId="0" fontId="154" fillId="0" borderId="50" xfId="0" applyFont="1" applyBorder="1" applyAlignment="1">
      <alignment horizontal="center" vertical="center" wrapText="1"/>
    </xf>
    <xf numFmtId="0" fontId="18" fillId="0" borderId="181" xfId="0" applyFont="1" applyBorder="1" applyAlignment="1">
      <alignment vertical="center"/>
    </xf>
    <xf numFmtId="197" fontId="18" fillId="0" borderId="181" xfId="1820" applyNumberFormat="1" applyFont="1" applyFill="1" applyBorder="1" applyAlignment="1">
      <alignment vertical="center"/>
    </xf>
    <xf numFmtId="43" fontId="18" fillId="0" borderId="222" xfId="1820" applyFont="1" applyFill="1" applyBorder="1" applyAlignment="1">
      <alignment vertical="center"/>
    </xf>
    <xf numFmtId="43" fontId="18" fillId="0" borderId="181" xfId="1820" applyFont="1" applyFill="1" applyBorder="1" applyAlignment="1">
      <alignment vertical="center"/>
    </xf>
    <xf numFmtId="0" fontId="18" fillId="0" borderId="78" xfId="0" applyFont="1" applyBorder="1" applyAlignment="1">
      <alignment vertical="center"/>
    </xf>
    <xf numFmtId="197" fontId="18" fillId="0" borderId="78" xfId="1820" applyNumberFormat="1" applyFont="1" applyFill="1" applyBorder="1" applyAlignment="1">
      <alignment vertical="center"/>
    </xf>
    <xf numFmtId="0" fontId="18" fillId="0" borderId="182" xfId="0" applyFont="1" applyBorder="1" applyAlignment="1">
      <alignment vertical="center"/>
    </xf>
    <xf numFmtId="197" fontId="18" fillId="0" borderId="182" xfId="1820" applyNumberFormat="1" applyFont="1" applyFill="1" applyBorder="1" applyAlignment="1">
      <alignment vertical="center"/>
    </xf>
    <xf numFmtId="43" fontId="18" fillId="0" borderId="222" xfId="786" applyFont="1" applyFill="1" applyBorder="1" applyAlignment="1">
      <alignment vertical="center"/>
    </xf>
    <xf numFmtId="43" fontId="18" fillId="0" borderId="181" xfId="786" applyFont="1" applyFill="1" applyBorder="1" applyAlignment="1">
      <alignment vertical="center"/>
    </xf>
    <xf numFmtId="0" fontId="18" fillId="0" borderId="182" xfId="0" applyFont="1" applyBorder="1" applyAlignment="1">
      <alignment vertical="center" wrapText="1"/>
    </xf>
    <xf numFmtId="0" fontId="227" fillId="0" borderId="182" xfId="0" applyFont="1" applyBorder="1" applyAlignment="1">
      <alignment vertical="center"/>
    </xf>
    <xf numFmtId="197" fontId="18" fillId="0" borderId="182" xfId="1820" applyNumberFormat="1" applyFont="1" applyFill="1" applyBorder="1" applyAlignment="1">
      <alignment horizontal="center" vertical="center" wrapText="1"/>
    </xf>
    <xf numFmtId="0" fontId="18" fillId="0" borderId="226" xfId="0" applyFont="1" applyBorder="1" applyAlignment="1">
      <alignment vertical="center"/>
    </xf>
    <xf numFmtId="0" fontId="18" fillId="0" borderId="226" xfId="0" applyFont="1" applyBorder="1" applyAlignment="1">
      <alignment horizontal="center" vertical="center"/>
    </xf>
    <xf numFmtId="43" fontId="18" fillId="0" borderId="226" xfId="786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43" fontId="5" fillId="0" borderId="311" xfId="786" applyFont="1" applyFill="1" applyBorder="1" applyAlignment="1">
      <alignment horizontal="right" vertical="center"/>
    </xf>
    <xf numFmtId="0" fontId="154" fillId="0" borderId="215" xfId="0" applyFont="1" applyBorder="1" applyAlignment="1">
      <alignment vertical="center"/>
    </xf>
    <xf numFmtId="0" fontId="154" fillId="0" borderId="215" xfId="0" applyFont="1" applyBorder="1" applyAlignment="1">
      <alignment horizontal="center" vertical="center"/>
    </xf>
    <xf numFmtId="197" fontId="18" fillId="0" borderId="78" xfId="1820" applyNumberFormat="1" applyFont="1" applyFill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227" fillId="0" borderId="78" xfId="0" applyFont="1" applyBorder="1" applyAlignment="1">
      <alignment vertical="center"/>
    </xf>
    <xf numFmtId="197" fontId="18" fillId="0" borderId="427" xfId="786" applyNumberFormat="1" applyFont="1" applyFill="1" applyBorder="1" applyAlignment="1">
      <alignment horizontal="left" vertical="top"/>
    </xf>
    <xf numFmtId="0" fontId="5" fillId="0" borderId="430" xfId="0" applyFont="1" applyFill="1" applyBorder="1" applyAlignment="1">
      <alignment horizontal="center" vertical="center"/>
    </xf>
    <xf numFmtId="0" fontId="5" fillId="0" borderId="385" xfId="0" applyFont="1" applyBorder="1" applyAlignment="1">
      <alignment horizontal="left" vertical="center"/>
    </xf>
    <xf numFmtId="0" fontId="5" fillId="0" borderId="232" xfId="0" applyFont="1" applyBorder="1" applyAlignment="1">
      <alignment horizontal="center" vertical="center"/>
    </xf>
    <xf numFmtId="173" fontId="5" fillId="0" borderId="232" xfId="786" applyNumberFormat="1" applyFont="1" applyFill="1" applyBorder="1" applyAlignment="1">
      <alignment horizontal="center" vertical="center"/>
    </xf>
    <xf numFmtId="0" fontId="172" fillId="0" borderId="50" xfId="0" applyFont="1" applyBorder="1" applyAlignment="1">
      <alignment vertical="center"/>
    </xf>
    <xf numFmtId="0" fontId="172" fillId="0" borderId="50" xfId="0" applyFont="1" applyBorder="1" applyAlignment="1">
      <alignment vertical="center" wrapText="1"/>
    </xf>
    <xf numFmtId="0" fontId="172" fillId="0" borderId="50" xfId="0" applyFont="1" applyBorder="1" applyAlignment="1">
      <alignment horizontal="center" vertical="center" wrapText="1"/>
    </xf>
    <xf numFmtId="0" fontId="173" fillId="0" borderId="224" xfId="0" applyFont="1" applyBorder="1" applyAlignment="1">
      <alignment horizontal="center" vertical="center"/>
    </xf>
    <xf numFmtId="0" fontId="173" fillId="0" borderId="225" xfId="0" applyFont="1" applyBorder="1" applyAlignment="1">
      <alignment horizontal="left" vertical="center"/>
    </xf>
    <xf numFmtId="197" fontId="173" fillId="0" borderId="224" xfId="1820" applyNumberFormat="1" applyFont="1" applyFill="1" applyBorder="1" applyAlignment="1">
      <alignment horizontal="center" vertical="center"/>
    </xf>
    <xf numFmtId="43" fontId="173" fillId="0" borderId="224" xfId="1820" applyFont="1" applyFill="1" applyBorder="1" applyAlignment="1">
      <alignment horizontal="center" vertical="center"/>
    </xf>
    <xf numFmtId="0" fontId="173" fillId="0" borderId="78" xfId="0" applyFont="1" applyBorder="1" applyAlignment="1">
      <alignment horizontal="center" vertical="center"/>
    </xf>
    <xf numFmtId="0" fontId="173" fillId="0" borderId="93" xfId="0" applyFont="1" applyBorder="1" applyAlignment="1">
      <alignment horizontal="left" vertical="center"/>
    </xf>
    <xf numFmtId="197" fontId="173" fillId="0" borderId="78" xfId="1820" applyNumberFormat="1" applyFont="1" applyFill="1" applyBorder="1" applyAlignment="1">
      <alignment horizontal="center" vertical="center"/>
    </xf>
    <xf numFmtId="0" fontId="173" fillId="0" borderId="182" xfId="0" applyFont="1" applyBorder="1" applyAlignment="1">
      <alignment horizontal="center" vertical="center"/>
    </xf>
    <xf numFmtId="0" fontId="173" fillId="0" borderId="223" xfId="0" applyFont="1" applyBorder="1" applyAlignment="1">
      <alignment horizontal="left" vertical="center"/>
    </xf>
    <xf numFmtId="197" fontId="173" fillId="0" borderId="182" xfId="1820" applyNumberFormat="1" applyFont="1" applyFill="1" applyBorder="1" applyAlignment="1">
      <alignment horizontal="center" vertical="center"/>
    </xf>
    <xf numFmtId="43" fontId="173" fillId="0" borderId="182" xfId="786" applyFont="1" applyBorder="1" applyAlignment="1">
      <alignment horizontal="center" vertical="center"/>
    </xf>
    <xf numFmtId="0" fontId="172" fillId="0" borderId="55" xfId="0" applyFont="1" applyBorder="1" applyAlignment="1">
      <alignment vertical="center"/>
    </xf>
    <xf numFmtId="0" fontId="172" fillId="0" borderId="189" xfId="0" applyFont="1" applyBorder="1" applyAlignment="1">
      <alignment horizontal="center" vertical="center"/>
    </xf>
    <xf numFmtId="43" fontId="172" fillId="0" borderId="56" xfId="786" applyFont="1" applyBorder="1" applyAlignment="1">
      <alignment vertical="center"/>
    </xf>
    <xf numFmtId="43" fontId="172" fillId="0" borderId="190" xfId="786" applyFont="1" applyBorder="1" applyAlignment="1">
      <alignment horizontal="center" vertical="center"/>
    </xf>
    <xf numFmtId="0" fontId="173" fillId="0" borderId="181" xfId="0" applyFont="1" applyBorder="1" applyAlignment="1">
      <alignment horizontal="center" vertical="center"/>
    </xf>
    <xf numFmtId="0" fontId="173" fillId="0" borderId="222" xfId="0" applyFont="1" applyBorder="1" applyAlignment="1">
      <alignment horizontal="left" vertical="center"/>
    </xf>
    <xf numFmtId="197" fontId="173" fillId="0" borderId="181" xfId="1820" applyNumberFormat="1" applyFont="1" applyFill="1" applyBorder="1" applyAlignment="1">
      <alignment horizontal="center" vertical="center"/>
    </xf>
    <xf numFmtId="43" fontId="173" fillId="0" borderId="181" xfId="786" applyFont="1" applyFill="1" applyBorder="1" applyAlignment="1">
      <alignment horizontal="center" vertical="center"/>
    </xf>
    <xf numFmtId="0" fontId="173" fillId="0" borderId="93" xfId="0" applyFont="1" applyBorder="1" applyAlignment="1">
      <alignment horizontal="left" vertical="center" wrapText="1"/>
    </xf>
    <xf numFmtId="0" fontId="173" fillId="0" borderId="51" xfId="0" applyFont="1" applyBorder="1" applyAlignment="1">
      <alignment horizontal="center" vertical="center"/>
    </xf>
    <xf numFmtId="0" fontId="173" fillId="0" borderId="55" xfId="0" applyFont="1" applyBorder="1" applyAlignment="1">
      <alignment horizontal="left" vertical="center"/>
    </xf>
    <xf numFmtId="43" fontId="173" fillId="0" borderId="51" xfId="786" applyFont="1" applyFill="1" applyBorder="1" applyAlignment="1">
      <alignment horizontal="center" vertical="center"/>
    </xf>
    <xf numFmtId="0" fontId="173" fillId="0" borderId="124" xfId="0" applyFont="1" applyBorder="1" applyAlignment="1">
      <alignment horizontal="center" vertical="center"/>
    </xf>
    <xf numFmtId="0" fontId="173" fillId="0" borderId="226" xfId="0" applyFont="1" applyBorder="1" applyAlignment="1">
      <alignment vertical="center"/>
    </xf>
    <xf numFmtId="0" fontId="173" fillId="0" borderId="226" xfId="0" applyFont="1" applyBorder="1" applyAlignment="1">
      <alignment horizontal="center" vertical="center"/>
    </xf>
    <xf numFmtId="43" fontId="173" fillId="0" borderId="226" xfId="786" applyFont="1" applyBorder="1" applyAlignment="1">
      <alignment vertical="center"/>
    </xf>
    <xf numFmtId="43" fontId="173" fillId="0" borderId="190" xfId="786" applyFont="1" applyBorder="1" applyAlignment="1">
      <alignment horizontal="center" vertical="center"/>
    </xf>
    <xf numFmtId="0" fontId="173" fillId="0" borderId="81" xfId="0" applyFont="1" applyBorder="1" applyAlignment="1">
      <alignment horizontal="center" vertical="center"/>
    </xf>
    <xf numFmtId="0" fontId="173" fillId="0" borderId="0" xfId="0" applyFont="1" applyBorder="1" applyAlignment="1">
      <alignment vertical="center"/>
    </xf>
    <xf numFmtId="0" fontId="173" fillId="0" borderId="0" xfId="0" applyFont="1" applyBorder="1" applyAlignment="1">
      <alignment horizontal="center" vertical="center"/>
    </xf>
    <xf numFmtId="0" fontId="173" fillId="0" borderId="191" xfId="0" applyFont="1" applyBorder="1" applyAlignment="1">
      <alignment horizontal="center" vertical="center"/>
    </xf>
    <xf numFmtId="0" fontId="172" fillId="0" borderId="215" xfId="0" applyFont="1" applyBorder="1" applyAlignment="1">
      <alignment vertical="center"/>
    </xf>
    <xf numFmtId="0" fontId="172" fillId="0" borderId="215" xfId="0" applyFont="1" applyBorder="1" applyAlignment="1">
      <alignment horizontal="center" vertical="center"/>
    </xf>
    <xf numFmtId="43" fontId="172" fillId="0" borderId="215" xfId="786" applyFont="1" applyBorder="1" applyAlignment="1">
      <alignment vertical="center"/>
    </xf>
    <xf numFmtId="43" fontId="173" fillId="0" borderId="192" xfId="786" applyFont="1" applyBorder="1" applyAlignment="1">
      <alignment horizontal="center" vertical="center"/>
    </xf>
    <xf numFmtId="0" fontId="216" fillId="0" borderId="0" xfId="0" applyFont="1" applyAlignment="1">
      <alignment horizontal="center"/>
    </xf>
    <xf numFmtId="43" fontId="162" fillId="0" borderId="0" xfId="1023" applyFont="1" applyFill="1" applyBorder="1" applyAlignment="1">
      <alignment horizontal="center" vertical="center"/>
    </xf>
    <xf numFmtId="0" fontId="177" fillId="0" borderId="0" xfId="0" applyFont="1" applyAlignment="1">
      <alignment horizontal="center"/>
    </xf>
    <xf numFmtId="0" fontId="177" fillId="0" borderId="0" xfId="0" applyFont="1"/>
    <xf numFmtId="0" fontId="186" fillId="0" borderId="0" xfId="0" applyFont="1"/>
    <xf numFmtId="0" fontId="196" fillId="0" borderId="0" xfId="0" applyFont="1" applyAlignment="1">
      <alignment horizontal="center" vertical="center"/>
    </xf>
    <xf numFmtId="0" fontId="186" fillId="0" borderId="0" xfId="0" applyFont="1" applyAlignment="1">
      <alignment horizontal="center" vertical="center"/>
    </xf>
    <xf numFmtId="0" fontId="178" fillId="0" borderId="0" xfId="0" applyFont="1" applyBorder="1" applyAlignment="1">
      <alignment horizontal="center" vertical="center"/>
    </xf>
    <xf numFmtId="0" fontId="178" fillId="2" borderId="97" xfId="0" applyFont="1" applyFill="1" applyBorder="1" applyAlignment="1">
      <alignment horizontal="center" vertical="center"/>
    </xf>
    <xf numFmtId="0" fontId="177" fillId="0" borderId="395" xfId="1556" applyFont="1" applyBorder="1" applyAlignment="1">
      <alignment horizontal="center" vertical="center"/>
    </xf>
    <xf numFmtId="43" fontId="177" fillId="0" borderId="165" xfId="786" applyFont="1" applyBorder="1" applyAlignment="1">
      <alignment vertical="center"/>
    </xf>
    <xf numFmtId="0" fontId="178" fillId="0" borderId="164" xfId="1556" applyFont="1" applyBorder="1" applyAlignment="1">
      <alignment horizontal="left" vertical="center"/>
    </xf>
    <xf numFmtId="43" fontId="177" fillId="0" borderId="234" xfId="786" applyFont="1" applyBorder="1" applyAlignment="1">
      <alignment vertical="center"/>
    </xf>
    <xf numFmtId="0" fontId="177" fillId="0" borderId="393" xfId="1556" applyFont="1" applyBorder="1" applyAlignment="1">
      <alignment horizontal="center" vertical="center"/>
    </xf>
    <xf numFmtId="43" fontId="177" fillId="0" borderId="393" xfId="0" applyNumberFormat="1" applyFont="1" applyBorder="1" applyAlignment="1">
      <alignment vertical="center"/>
    </xf>
    <xf numFmtId="179" fontId="177" fillId="0" borderId="393" xfId="0" applyNumberFormat="1" applyFont="1" applyBorder="1" applyAlignment="1">
      <alignment vertical="center"/>
    </xf>
    <xf numFmtId="0" fontId="177" fillId="0" borderId="14" xfId="0" applyFont="1" applyBorder="1" applyAlignment="1">
      <alignment vertical="center"/>
    </xf>
    <xf numFmtId="0" fontId="177" fillId="0" borderId="394" xfId="0" applyFont="1" applyBorder="1" applyAlignment="1">
      <alignment vertical="center"/>
    </xf>
    <xf numFmtId="43" fontId="177" fillId="0" borderId="14" xfId="786" applyFont="1" applyBorder="1" applyAlignment="1">
      <alignment vertical="center"/>
    </xf>
    <xf numFmtId="43" fontId="177" fillId="0" borderId="142" xfId="786" applyFont="1" applyBorder="1" applyAlignment="1">
      <alignment vertical="center"/>
    </xf>
    <xf numFmtId="0" fontId="177" fillId="0" borderId="14" xfId="1556" applyFont="1" applyFill="1" applyBorder="1" applyAlignment="1">
      <alignment horizontal="left" vertical="center"/>
    </xf>
    <xf numFmtId="0" fontId="178" fillId="0" borderId="393" xfId="1556" applyFont="1" applyBorder="1" applyAlignment="1">
      <alignment horizontal="center" vertical="center"/>
    </xf>
    <xf numFmtId="0" fontId="177" fillId="0" borderId="393" xfId="1556" applyFont="1" applyBorder="1" applyAlignment="1">
      <alignment horizontal="left" vertical="center" indent="3"/>
    </xf>
    <xf numFmtId="1" fontId="177" fillId="0" borderId="393" xfId="1556" applyNumberFormat="1" applyFont="1" applyBorder="1" applyAlignment="1">
      <alignment horizontal="left" vertical="center" indent="3"/>
    </xf>
    <xf numFmtId="1" fontId="177" fillId="0" borderId="393" xfId="1556" applyNumberFormat="1" applyFont="1" applyFill="1" applyBorder="1" applyAlignment="1">
      <alignment horizontal="left" vertical="center" indent="3"/>
    </xf>
    <xf numFmtId="43" fontId="178" fillId="0" borderId="142" xfId="786" applyFont="1" applyBorder="1" applyAlignment="1">
      <alignment horizontal="left" vertical="center" indent="1"/>
    </xf>
    <xf numFmtId="43" fontId="177" fillId="0" borderId="142" xfId="786" applyFont="1" applyBorder="1" applyAlignment="1">
      <alignment horizontal="left" vertical="center" indent="2"/>
    </xf>
    <xf numFmtId="174" fontId="177" fillId="0" borderId="393" xfId="803" applyNumberFormat="1" applyFont="1" applyBorder="1" applyAlignment="1">
      <alignment vertical="center"/>
    </xf>
    <xf numFmtId="0" fontId="160" fillId="0" borderId="458" xfId="0" applyFont="1" applyFill="1" applyBorder="1" applyAlignment="1">
      <alignment horizontal="center" vertical="center"/>
    </xf>
    <xf numFmtId="0" fontId="160" fillId="0" borderId="459" xfId="0" applyFont="1" applyFill="1" applyBorder="1" applyAlignment="1">
      <alignment horizontal="center" vertical="center"/>
    </xf>
    <xf numFmtId="0" fontId="160" fillId="0" borderId="460" xfId="0" applyFont="1" applyFill="1" applyBorder="1" applyAlignment="1">
      <alignment horizontal="center" vertical="center"/>
    </xf>
    <xf numFmtId="42" fontId="161" fillId="0" borderId="249" xfId="0" applyNumberFormat="1" applyFont="1" applyFill="1" applyBorder="1" applyAlignment="1">
      <alignment horizontal="left" vertical="center" wrapText="1"/>
    </xf>
    <xf numFmtId="42" fontId="160" fillId="0" borderId="249" xfId="0" applyNumberFormat="1" applyFont="1" applyFill="1" applyBorder="1" applyAlignment="1">
      <alignment horizontal="left" vertical="center" wrapText="1"/>
    </xf>
    <xf numFmtId="42" fontId="160" fillId="0" borderId="252" xfId="0" applyNumberFormat="1" applyFont="1" applyFill="1" applyBorder="1" applyAlignment="1">
      <alignment horizontal="left" vertical="center" wrapText="1"/>
    </xf>
    <xf numFmtId="42" fontId="161" fillId="0" borderId="252" xfId="0" quotePrefix="1" applyNumberFormat="1" applyFont="1" applyFill="1" applyBorder="1" applyAlignment="1">
      <alignment horizontal="left" vertical="center" wrapText="1"/>
    </xf>
    <xf numFmtId="0" fontId="160" fillId="0" borderId="243" xfId="0" applyFont="1" applyFill="1" applyBorder="1" applyAlignment="1">
      <alignment vertical="center" wrapText="1"/>
    </xf>
    <xf numFmtId="0" fontId="179" fillId="0" borderId="461" xfId="1815" applyFont="1" applyFill="1" applyBorder="1" applyAlignment="1">
      <alignment horizontal="center"/>
    </xf>
    <xf numFmtId="0" fontId="160" fillId="0" borderId="460" xfId="0" applyFont="1" applyFill="1" applyBorder="1" applyAlignment="1">
      <alignment horizontal="center"/>
    </xf>
    <xf numFmtId="174" fontId="165" fillId="51" borderId="238" xfId="803" applyNumberFormat="1" applyFont="1" applyFill="1" applyBorder="1"/>
    <xf numFmtId="43" fontId="165" fillId="51" borderId="238" xfId="786" applyFont="1" applyFill="1" applyBorder="1"/>
    <xf numFmtId="43" fontId="165" fillId="51" borderId="238" xfId="786" applyFont="1" applyFill="1" applyBorder="1" applyAlignment="1">
      <alignment horizontal="center" vertical="center"/>
    </xf>
    <xf numFmtId="43" fontId="165" fillId="51" borderId="236" xfId="786" applyFont="1" applyFill="1" applyBorder="1"/>
    <xf numFmtId="43" fontId="160" fillId="51" borderId="249" xfId="786" applyFont="1" applyFill="1" applyBorder="1" applyAlignment="1">
      <alignment vertical="center"/>
    </xf>
    <xf numFmtId="43" fontId="160" fillId="51" borderId="252" xfId="786" applyFont="1" applyFill="1" applyBorder="1" applyAlignment="1">
      <alignment vertical="center"/>
    </xf>
    <xf numFmtId="43" fontId="160" fillId="51" borderId="459" xfId="786" applyFont="1" applyFill="1" applyBorder="1" applyAlignment="1">
      <alignment vertical="center"/>
    </xf>
    <xf numFmtId="43" fontId="177" fillId="51" borderId="243" xfId="786" applyFont="1" applyFill="1" applyBorder="1" applyAlignment="1">
      <alignment horizontal="center"/>
    </xf>
    <xf numFmtId="43" fontId="160" fillId="51" borderId="249" xfId="786" applyFont="1" applyFill="1" applyBorder="1"/>
    <xf numFmtId="43" fontId="160" fillId="51" borderId="369" xfId="786" applyFont="1" applyFill="1" applyBorder="1"/>
    <xf numFmtId="43" fontId="203" fillId="51" borderId="249" xfId="786" applyFont="1" applyFill="1" applyBorder="1"/>
    <xf numFmtId="43" fontId="160" fillId="51" borderId="424" xfId="786" applyFont="1" applyFill="1" applyBorder="1"/>
    <xf numFmtId="0" fontId="165" fillId="51" borderId="444" xfId="0" applyFont="1" applyFill="1" applyBorder="1" applyAlignment="1">
      <alignment vertical="center"/>
    </xf>
    <xf numFmtId="43" fontId="160" fillId="51" borderId="320" xfId="786" applyFont="1" applyFill="1" applyBorder="1"/>
    <xf numFmtId="43" fontId="169" fillId="51" borderId="78" xfId="786" applyFont="1" applyFill="1" applyBorder="1" applyAlignment="1">
      <alignment horizontal="center" vertical="center"/>
    </xf>
    <xf numFmtId="43" fontId="160" fillId="51" borderId="360" xfId="786" applyFont="1" applyFill="1" applyBorder="1"/>
    <xf numFmtId="43" fontId="182" fillId="51" borderId="345" xfId="786" applyFont="1" applyFill="1" applyBorder="1" applyAlignment="1">
      <alignment horizontal="left" vertical="center"/>
    </xf>
    <xf numFmtId="43" fontId="160" fillId="51" borderId="361" xfId="786" applyFont="1" applyFill="1" applyBorder="1"/>
    <xf numFmtId="43" fontId="160" fillId="51" borderId="426" xfId="786" applyFont="1" applyFill="1" applyBorder="1"/>
    <xf numFmtId="43" fontId="160" fillId="51" borderId="427" xfId="786" applyFont="1" applyFill="1" applyBorder="1"/>
    <xf numFmtId="43" fontId="173" fillId="51" borderId="351" xfId="786" applyFont="1" applyFill="1" applyBorder="1" applyAlignment="1">
      <alignment horizontal="center" vertical="center"/>
    </xf>
    <xf numFmtId="43" fontId="160" fillId="51" borderId="36" xfId="786" applyFont="1" applyFill="1" applyBorder="1"/>
    <xf numFmtId="43" fontId="179" fillId="51" borderId="218" xfId="786" applyFont="1" applyFill="1" applyBorder="1" applyAlignment="1">
      <alignment horizontal="center" vertical="center"/>
    </xf>
    <xf numFmtId="43" fontId="160" fillId="51" borderId="259" xfId="786" applyFont="1" applyFill="1" applyBorder="1"/>
    <xf numFmtId="43" fontId="160" fillId="51" borderId="319" xfId="786" applyFont="1" applyFill="1" applyBorder="1"/>
    <xf numFmtId="43" fontId="186" fillId="51" borderId="311" xfId="786" applyFont="1" applyFill="1" applyBorder="1" applyAlignment="1">
      <alignment vertical="center"/>
    </xf>
    <xf numFmtId="43" fontId="179" fillId="51" borderId="205" xfId="786" applyFont="1" applyFill="1" applyBorder="1" applyAlignment="1">
      <alignment horizontal="center" vertical="center"/>
    </xf>
    <xf numFmtId="43" fontId="160" fillId="51" borderId="175" xfId="786" applyFont="1" applyFill="1" applyBorder="1"/>
    <xf numFmtId="43" fontId="179" fillId="51" borderId="163" xfId="786" applyFont="1" applyFill="1" applyBorder="1" applyAlignment="1">
      <alignment horizontal="center" vertical="center"/>
    </xf>
    <xf numFmtId="43" fontId="160" fillId="51" borderId="263" xfId="786" applyFont="1" applyFill="1" applyBorder="1"/>
    <xf numFmtId="43" fontId="160" fillId="51" borderId="353" xfId="786" applyFont="1" applyFill="1" applyBorder="1"/>
    <xf numFmtId="43" fontId="179" fillId="51" borderId="265" xfId="786" applyFont="1" applyFill="1" applyBorder="1" applyAlignment="1">
      <alignment horizontal="center" vertical="center"/>
    </xf>
    <xf numFmtId="43" fontId="179" fillId="51" borderId="64" xfId="786" applyFont="1" applyFill="1" applyBorder="1" applyAlignment="1">
      <alignment horizontal="center" vertical="center"/>
    </xf>
    <xf numFmtId="43" fontId="179" fillId="51" borderId="256" xfId="786" applyFont="1" applyFill="1" applyBorder="1" applyAlignment="1">
      <alignment horizontal="center" vertical="center"/>
    </xf>
    <xf numFmtId="43" fontId="160" fillId="51" borderId="0" xfId="786" applyFont="1" applyFill="1"/>
    <xf numFmtId="43" fontId="160" fillId="51" borderId="442" xfId="786" applyFont="1" applyFill="1" applyBorder="1"/>
    <xf numFmtId="43" fontId="179" fillId="51" borderId="345" xfId="786" applyFont="1" applyFill="1" applyBorder="1" applyAlignment="1">
      <alignment horizontal="center" vertical="center"/>
    </xf>
    <xf numFmtId="43" fontId="163" fillId="51" borderId="0" xfId="786" applyFont="1" applyFill="1" applyBorder="1"/>
    <xf numFmtId="234" fontId="169" fillId="51" borderId="345" xfId="1815" applyNumberFormat="1" applyFont="1" applyFill="1" applyBorder="1"/>
    <xf numFmtId="43" fontId="179" fillId="51" borderId="166" xfId="786" applyFont="1" applyFill="1" applyBorder="1" applyAlignment="1">
      <alignment horizontal="center" vertical="center"/>
    </xf>
    <xf numFmtId="43" fontId="163" fillId="51" borderId="353" xfId="786" applyFont="1" applyFill="1" applyBorder="1" applyAlignment="1">
      <alignment horizontal="center"/>
    </xf>
    <xf numFmtId="43" fontId="177" fillId="51" borderId="265" xfId="786" applyFont="1" applyFill="1" applyBorder="1" applyAlignment="1">
      <alignment horizontal="center"/>
    </xf>
    <xf numFmtId="43" fontId="163" fillId="51" borderId="259" xfId="786" applyFont="1" applyFill="1" applyBorder="1" applyAlignment="1">
      <alignment horizontal="center"/>
    </xf>
    <xf numFmtId="43" fontId="2" fillId="51" borderId="351" xfId="1850" applyFont="1" applyFill="1" applyBorder="1" applyAlignment="1">
      <alignment horizontal="left" vertical="center"/>
    </xf>
    <xf numFmtId="43" fontId="177" fillId="51" borderId="265" xfId="786" applyFont="1" applyFill="1" applyBorder="1"/>
    <xf numFmtId="43" fontId="169" fillId="51" borderId="309" xfId="786" applyFont="1" applyFill="1" applyBorder="1"/>
    <xf numFmtId="43" fontId="190" fillId="51" borderId="311" xfId="786" applyFont="1" applyFill="1" applyBorder="1" applyAlignment="1">
      <alignment horizontal="left" vertical="center"/>
    </xf>
    <xf numFmtId="43" fontId="163" fillId="51" borderId="320" xfId="786" applyFont="1" applyFill="1" applyBorder="1"/>
    <xf numFmtId="43" fontId="169" fillId="51" borderId="206" xfId="786" applyFont="1" applyFill="1" applyBorder="1"/>
    <xf numFmtId="43" fontId="163" fillId="51" borderId="259" xfId="786" applyFont="1" applyFill="1" applyBorder="1"/>
    <xf numFmtId="43" fontId="160" fillId="51" borderId="259" xfId="786" applyFont="1" applyFill="1" applyBorder="1" applyAlignment="1">
      <alignment vertical="center"/>
    </xf>
    <xf numFmtId="43" fontId="169" fillId="51" borderId="427" xfId="786" applyFont="1" applyFill="1" applyBorder="1" applyAlignment="1">
      <alignment horizontal="left" vertical="center"/>
    </xf>
    <xf numFmtId="43" fontId="160" fillId="51" borderId="428" xfId="786" applyFont="1" applyFill="1" applyBorder="1"/>
    <xf numFmtId="43" fontId="179" fillId="51" borderId="311" xfId="786" applyFont="1" applyFill="1" applyBorder="1" applyAlignment="1">
      <alignment horizontal="center" vertical="center"/>
    </xf>
    <xf numFmtId="43" fontId="169" fillId="51" borderId="413" xfId="786" applyFont="1" applyFill="1" applyBorder="1"/>
    <xf numFmtId="174" fontId="13" fillId="51" borderId="305" xfId="803" applyNumberFormat="1" applyFont="1" applyFill="1" applyBorder="1"/>
    <xf numFmtId="43" fontId="173" fillId="51" borderId="78" xfId="786" applyFont="1" applyFill="1" applyBorder="1" applyAlignment="1">
      <alignment horizontal="center" vertical="center"/>
    </xf>
    <xf numFmtId="43" fontId="173" fillId="51" borderId="368" xfId="786" quotePrefix="1" applyFont="1" applyFill="1" applyBorder="1" applyAlignment="1">
      <alignment vertical="center"/>
    </xf>
    <xf numFmtId="43" fontId="13" fillId="51" borderId="305" xfId="786" applyFont="1" applyFill="1" applyBorder="1"/>
    <xf numFmtId="43" fontId="173" fillId="51" borderId="327" xfId="786" applyFont="1" applyFill="1" applyBorder="1" applyAlignment="1">
      <alignment vertical="center"/>
    </xf>
    <xf numFmtId="174" fontId="13" fillId="51" borderId="329" xfId="803" applyNumberFormat="1" applyFont="1" applyFill="1" applyBorder="1"/>
    <xf numFmtId="174" fontId="13" fillId="51" borderId="331" xfId="803" applyNumberFormat="1" applyFont="1" applyFill="1" applyBorder="1"/>
    <xf numFmtId="174" fontId="0" fillId="0" borderId="0" xfId="803" applyNumberFormat="1" applyFont="1" applyBorder="1"/>
    <xf numFmtId="174" fontId="18" fillId="0" borderId="0" xfId="803" applyNumberFormat="1" applyFont="1" applyFill="1" applyBorder="1"/>
    <xf numFmtId="174" fontId="173" fillId="0" borderId="0" xfId="803" applyNumberFormat="1" applyFont="1" applyFill="1" applyBorder="1" applyAlignment="1">
      <alignment horizontal="center" vertical="center"/>
    </xf>
    <xf numFmtId="41" fontId="160" fillId="0" borderId="462" xfId="803" applyFont="1" applyFill="1" applyBorder="1"/>
    <xf numFmtId="0" fontId="171" fillId="0" borderId="463" xfId="0" applyFont="1" applyBorder="1" applyAlignment="1">
      <alignment horizontal="center" vertical="center"/>
    </xf>
    <xf numFmtId="0" fontId="171" fillId="0" borderId="465" xfId="0" applyFont="1" applyFill="1" applyBorder="1" applyAlignment="1">
      <alignment horizontal="center" vertical="center"/>
    </xf>
    <xf numFmtId="43" fontId="165" fillId="0" borderId="232" xfId="786" applyFont="1" applyBorder="1" applyAlignment="1">
      <alignment horizontal="center" vertical="center"/>
    </xf>
    <xf numFmtId="0" fontId="165" fillId="0" borderId="461" xfId="0" applyFont="1" applyFill="1" applyBorder="1" applyAlignment="1">
      <alignment vertical="center"/>
    </xf>
    <xf numFmtId="43" fontId="165" fillId="0" borderId="461" xfId="786" applyFont="1" applyBorder="1" applyAlignment="1">
      <alignment horizontal="center" vertical="center"/>
    </xf>
    <xf numFmtId="0" fontId="165" fillId="51" borderId="0" xfId="1468" applyFont="1" applyFill="1" applyAlignment="1">
      <alignment vertical="center"/>
    </xf>
    <xf numFmtId="43" fontId="179" fillId="51" borderId="351" xfId="786" applyFont="1" applyFill="1" applyBorder="1" applyAlignment="1">
      <alignment horizontal="center" vertical="center"/>
    </xf>
    <xf numFmtId="43" fontId="163" fillId="0" borderId="78" xfId="786" applyFont="1" applyBorder="1" applyAlignment="1">
      <alignment horizontal="center" vertical="center"/>
    </xf>
    <xf numFmtId="43" fontId="1" fillId="51" borderId="351" xfId="1850" applyFont="1" applyFill="1" applyBorder="1" applyAlignment="1">
      <alignment horizontal="left" vertical="center"/>
    </xf>
    <xf numFmtId="0" fontId="165" fillId="0" borderId="0" xfId="1468" applyFont="1" applyFill="1" applyAlignment="1">
      <alignment vertical="center"/>
    </xf>
    <xf numFmtId="43" fontId="165" fillId="51" borderId="286" xfId="786" applyFont="1" applyFill="1" applyBorder="1"/>
    <xf numFmtId="43" fontId="165" fillId="51" borderId="434" xfId="786" applyFont="1" applyFill="1" applyBorder="1"/>
    <xf numFmtId="43" fontId="165" fillId="51" borderId="464" xfId="786" applyFont="1" applyFill="1" applyBorder="1"/>
    <xf numFmtId="42" fontId="160" fillId="0" borderId="252" xfId="0" quotePrefix="1" applyNumberFormat="1" applyFont="1" applyFill="1" applyBorder="1" applyAlignment="1">
      <alignment horizontal="left" vertical="center" wrapText="1"/>
    </xf>
    <xf numFmtId="0" fontId="231" fillId="0" borderId="0" xfId="1468" applyFont="1" applyFill="1" applyAlignment="1">
      <alignment vertical="center" wrapText="1"/>
    </xf>
    <xf numFmtId="0" fontId="161" fillId="0" borderId="243" xfId="0" applyFont="1" applyFill="1" applyBorder="1" applyAlignment="1">
      <alignment vertical="center" wrapText="1"/>
    </xf>
    <xf numFmtId="0" fontId="177" fillId="0" borderId="0" xfId="0" applyFont="1" applyAlignment="1"/>
    <xf numFmtId="0" fontId="178" fillId="0" borderId="0" xfId="0" applyFont="1" applyBorder="1" applyAlignment="1">
      <alignment vertical="center"/>
    </xf>
    <xf numFmtId="0" fontId="216" fillId="0" borderId="0" xfId="0" applyFont="1" applyAlignment="1"/>
    <xf numFmtId="0" fontId="165" fillId="0" borderId="227" xfId="0" applyFont="1" applyFill="1" applyBorder="1" applyAlignment="1">
      <alignment horizontal="left" vertical="center"/>
    </xf>
    <xf numFmtId="43" fontId="165" fillId="0" borderId="0" xfId="786" applyFont="1" applyBorder="1"/>
    <xf numFmtId="0" fontId="5" fillId="55" borderId="95" xfId="0" applyFont="1" applyFill="1" applyBorder="1" applyAlignment="1">
      <alignment horizontal="center" vertical="center"/>
    </xf>
    <xf numFmtId="0" fontId="5" fillId="55" borderId="96" xfId="0" applyFont="1" applyFill="1" applyBorder="1" applyAlignment="1">
      <alignment horizontal="center" vertical="center"/>
    </xf>
    <xf numFmtId="0" fontId="5" fillId="55" borderId="70" xfId="0" applyFont="1" applyFill="1" applyBorder="1" applyAlignment="1">
      <alignment horizontal="center" vertical="center"/>
    </xf>
    <xf numFmtId="0" fontId="5" fillId="55" borderId="36" xfId="0" applyFont="1" applyFill="1" applyBorder="1" applyAlignment="1">
      <alignment horizontal="center" vertical="center"/>
    </xf>
    <xf numFmtId="173" fontId="5" fillId="55" borderId="70" xfId="786" applyNumberFormat="1" applyFont="1" applyFill="1" applyBorder="1" applyAlignment="1">
      <alignment horizontal="center" vertical="center"/>
    </xf>
    <xf numFmtId="173" fontId="5" fillId="55" borderId="36" xfId="786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left" wrapText="1"/>
    </xf>
    <xf numFmtId="0" fontId="18" fillId="55" borderId="95" xfId="0" applyFont="1" applyFill="1" applyBorder="1" applyAlignment="1">
      <alignment horizontal="center" vertical="center"/>
    </xf>
    <xf numFmtId="0" fontId="18" fillId="55" borderId="96" xfId="0" applyFont="1" applyFill="1" applyBorder="1" applyAlignment="1">
      <alignment horizontal="center" vertical="center"/>
    </xf>
    <xf numFmtId="0" fontId="18" fillId="55" borderId="70" xfId="0" applyFont="1" applyFill="1" applyBorder="1" applyAlignment="1">
      <alignment horizontal="center" vertical="center"/>
    </xf>
    <xf numFmtId="0" fontId="18" fillId="55" borderId="36" xfId="0" applyFont="1" applyFill="1" applyBorder="1" applyAlignment="1">
      <alignment horizontal="center" vertical="center"/>
    </xf>
    <xf numFmtId="0" fontId="6" fillId="0" borderId="50" xfId="0" applyFont="1" applyBorder="1" applyAlignment="1">
      <alignment vertical="top" wrapText="1"/>
    </xf>
    <xf numFmtId="0" fontId="6" fillId="0" borderId="50" xfId="0" applyFont="1" applyBorder="1" applyAlignment="1">
      <alignment vertical="top"/>
    </xf>
    <xf numFmtId="43" fontId="30" fillId="0" borderId="348" xfId="786" applyFont="1" applyBorder="1" applyAlignment="1">
      <alignment horizontal="left" vertical="center"/>
    </xf>
    <xf numFmtId="43" fontId="30" fillId="0" borderId="349" xfId="786" applyFont="1" applyBorder="1" applyAlignment="1">
      <alignment horizontal="left" vertical="center"/>
    </xf>
    <xf numFmtId="43" fontId="30" fillId="0" borderId="350" xfId="786" applyFont="1" applyBorder="1" applyAlignment="1">
      <alignment horizontal="left" vertical="center"/>
    </xf>
    <xf numFmtId="0" fontId="30" fillId="0" borderId="456" xfId="0" applyFont="1" applyBorder="1" applyAlignment="1">
      <alignment horizontal="left" vertical="top"/>
    </xf>
    <xf numFmtId="0" fontId="30" fillId="0" borderId="14" xfId="0" applyFont="1" applyBorder="1" applyAlignment="1">
      <alignment horizontal="left" vertical="top"/>
    </xf>
    <xf numFmtId="0" fontId="30" fillId="0" borderId="457" xfId="0" applyFont="1" applyBorder="1" applyAlignment="1">
      <alignment horizontal="left" vertical="top"/>
    </xf>
    <xf numFmtId="43" fontId="30" fillId="0" borderId="55" xfId="786" applyFont="1" applyFill="1" applyBorder="1" applyAlignment="1">
      <alignment horizontal="left" vertical="center"/>
    </xf>
    <xf numFmtId="43" fontId="30" fillId="0" borderId="56" xfId="786" applyFont="1" applyFill="1" applyBorder="1" applyAlignment="1">
      <alignment horizontal="left" vertical="center"/>
    </xf>
    <xf numFmtId="0" fontId="172" fillId="0" borderId="50" xfId="0" applyFont="1" applyBorder="1" applyAlignment="1">
      <alignment wrapText="1"/>
    </xf>
    <xf numFmtId="43" fontId="30" fillId="0" borderId="55" xfId="786" applyFont="1" applyBorder="1" applyAlignment="1">
      <alignment horizontal="left" vertical="center"/>
    </xf>
    <xf numFmtId="43" fontId="30" fillId="0" borderId="56" xfId="786" applyFont="1" applyBorder="1" applyAlignment="1">
      <alignment horizontal="left" vertical="center"/>
    </xf>
    <xf numFmtId="43" fontId="30" fillId="0" borderId="59" xfId="786" applyFont="1" applyBorder="1" applyAlignment="1">
      <alignment horizontal="left" vertical="center"/>
    </xf>
    <xf numFmtId="43" fontId="29" fillId="0" borderId="124" xfId="786" applyFont="1" applyBorder="1" applyAlignment="1">
      <alignment horizontal="left" vertical="center"/>
    </xf>
    <xf numFmtId="43" fontId="29" fillId="0" borderId="226" xfId="786" applyFont="1" applyBorder="1" applyAlignment="1">
      <alignment horizontal="left" vertical="center"/>
    </xf>
    <xf numFmtId="43" fontId="29" fillId="0" borderId="420" xfId="786" applyFont="1" applyBorder="1" applyAlignment="1">
      <alignment horizontal="left" vertical="center"/>
    </xf>
    <xf numFmtId="43" fontId="226" fillId="0" borderId="81" xfId="786" applyFont="1" applyBorder="1" applyAlignment="1">
      <alignment horizontal="left" vertical="center"/>
    </xf>
    <xf numFmtId="43" fontId="226" fillId="0" borderId="0" xfId="786" applyFont="1" applyBorder="1" applyAlignment="1">
      <alignment horizontal="left" vertical="center"/>
    </xf>
    <xf numFmtId="43" fontId="30" fillId="0" borderId="421" xfId="786" applyFont="1" applyBorder="1" applyAlignment="1">
      <alignment horizontal="left" vertical="center"/>
    </xf>
    <xf numFmtId="43" fontId="30" fillId="0" borderId="42" xfId="786" applyFont="1" applyBorder="1" applyAlignment="1">
      <alignment horizontal="left" vertical="center"/>
    </xf>
    <xf numFmtId="43" fontId="30" fillId="0" borderId="422" xfId="786" applyFont="1" applyBorder="1" applyAlignment="1">
      <alignment horizontal="left" vertical="center"/>
    </xf>
    <xf numFmtId="0" fontId="230" fillId="0" borderId="0" xfId="0" applyFont="1" applyAlignment="1">
      <alignment horizontal="center"/>
    </xf>
    <xf numFmtId="0" fontId="228" fillId="0" borderId="0" xfId="0" applyFont="1" applyAlignment="1">
      <alignment horizontal="center"/>
    </xf>
    <xf numFmtId="43" fontId="30" fillId="52" borderId="141" xfId="786" applyFont="1" applyFill="1" applyBorder="1" applyAlignment="1">
      <alignment horizontal="left" vertical="center"/>
    </xf>
    <xf numFmtId="43" fontId="30" fillId="52" borderId="55" xfId="786" applyFont="1" applyFill="1" applyBorder="1" applyAlignment="1">
      <alignment horizontal="left" vertical="center"/>
    </xf>
    <xf numFmtId="43" fontId="30" fillId="52" borderId="59" xfId="786" applyFont="1" applyFill="1" applyBorder="1" applyAlignment="1">
      <alignment horizontal="left" vertical="center"/>
    </xf>
    <xf numFmtId="43" fontId="30" fillId="52" borderId="56" xfId="786" applyFont="1" applyFill="1" applyBorder="1" applyAlignment="1">
      <alignment horizontal="left" vertical="center"/>
    </xf>
    <xf numFmtId="43" fontId="29" fillId="52" borderId="60" xfId="786" applyFont="1" applyFill="1" applyBorder="1" applyAlignment="1">
      <alignment horizontal="left" vertical="center"/>
    </xf>
    <xf numFmtId="43" fontId="226" fillId="52" borderId="51" xfId="786" applyFont="1" applyFill="1" applyBorder="1" applyAlignment="1">
      <alignment horizontal="left" vertical="center"/>
    </xf>
    <xf numFmtId="43" fontId="226" fillId="0" borderId="344" xfId="786" applyFont="1" applyBorder="1" applyAlignment="1">
      <alignment horizontal="left" vertical="center"/>
    </xf>
    <xf numFmtId="43" fontId="226" fillId="0" borderId="435" xfId="786" applyFont="1" applyBorder="1" applyAlignment="1">
      <alignment horizontal="left" vertical="center"/>
    </xf>
    <xf numFmtId="233" fontId="30" fillId="0" borderId="55" xfId="786" applyNumberFormat="1" applyFont="1" applyBorder="1" applyAlignment="1">
      <alignment horizontal="left" vertical="center"/>
    </xf>
    <xf numFmtId="233" fontId="30" fillId="0" borderId="56" xfId="786" applyNumberFormat="1" applyFont="1" applyBorder="1" applyAlignment="1">
      <alignment horizontal="left" vertical="center"/>
    </xf>
    <xf numFmtId="43" fontId="30" fillId="0" borderId="191" xfId="786" applyFont="1" applyBorder="1" applyAlignment="1">
      <alignment horizontal="left" vertical="center"/>
    </xf>
    <xf numFmtId="43" fontId="29" fillId="0" borderId="342" xfId="786" applyFont="1" applyBorder="1" applyAlignment="1">
      <alignment horizontal="left" vertical="center"/>
    </xf>
    <xf numFmtId="43" fontId="29" fillId="0" borderId="346" xfId="786" applyFont="1" applyBorder="1" applyAlignment="1">
      <alignment horizontal="left" vertical="center"/>
    </xf>
    <xf numFmtId="43" fontId="29" fillId="0" borderId="347" xfId="786" applyFont="1" applyBorder="1" applyAlignment="1">
      <alignment horizontal="left" vertical="center"/>
    </xf>
    <xf numFmtId="43" fontId="30" fillId="52" borderId="62" xfId="786" applyFont="1" applyFill="1" applyBorder="1" applyAlignment="1">
      <alignment horizontal="left" vertical="center"/>
    </xf>
    <xf numFmtId="0" fontId="30" fillId="0" borderId="62" xfId="0" applyFont="1" applyBorder="1" applyAlignment="1">
      <alignment horizontal="left" vertical="top"/>
    </xf>
    <xf numFmtId="0" fontId="229" fillId="0" borderId="0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50" xfId="0" applyFont="1" applyBorder="1" applyAlignment="1">
      <alignment wrapText="1"/>
    </xf>
    <xf numFmtId="43" fontId="29" fillId="0" borderId="124" xfId="786" applyFont="1" applyFill="1" applyBorder="1" applyAlignment="1">
      <alignment horizontal="left" vertical="center"/>
    </xf>
    <xf numFmtId="43" fontId="29" fillId="0" borderId="226" xfId="786" applyFont="1" applyFill="1" applyBorder="1" applyAlignment="1">
      <alignment horizontal="left" vertical="center"/>
    </xf>
    <xf numFmtId="43" fontId="29" fillId="0" borderId="420" xfId="786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 wrapText="1"/>
    </xf>
    <xf numFmtId="43" fontId="29" fillId="0" borderId="57" xfId="786" applyFont="1" applyFill="1" applyBorder="1" applyAlignment="1">
      <alignment horizontal="left" vertical="center"/>
    </xf>
    <xf numFmtId="43" fontId="226" fillId="0" borderId="81" xfId="786" applyFont="1" applyFill="1" applyBorder="1" applyAlignment="1">
      <alignment horizontal="left" vertical="center"/>
    </xf>
    <xf numFmtId="43" fontId="226" fillId="0" borderId="0" xfId="786" applyFont="1" applyFill="1" applyBorder="1" applyAlignment="1">
      <alignment horizontal="left" vertical="center"/>
    </xf>
    <xf numFmtId="43" fontId="30" fillId="0" borderId="421" xfId="786" applyFont="1" applyFill="1" applyBorder="1" applyAlignment="1">
      <alignment horizontal="left" vertical="center"/>
    </xf>
    <xf numFmtId="43" fontId="30" fillId="0" borderId="444" xfId="786" applyFont="1" applyFill="1" applyBorder="1" applyAlignment="1">
      <alignment horizontal="left" vertical="center"/>
    </xf>
    <xf numFmtId="43" fontId="30" fillId="0" borderId="422" xfId="786" applyFont="1" applyFill="1" applyBorder="1" applyAlignment="1">
      <alignment horizontal="left" vertical="center"/>
    </xf>
    <xf numFmtId="43" fontId="30" fillId="0" borderId="62" xfId="786" applyFont="1" applyFill="1" applyBorder="1" applyAlignment="1">
      <alignment horizontal="left" vertical="center"/>
    </xf>
    <xf numFmtId="0" fontId="223" fillId="0" borderId="0" xfId="0" applyFont="1" applyAlignment="1">
      <alignment horizontal="center" vertical="center"/>
    </xf>
    <xf numFmtId="173" fontId="18" fillId="55" borderId="70" xfId="786" applyNumberFormat="1" applyFont="1" applyFill="1" applyBorder="1" applyAlignment="1">
      <alignment horizontal="center" vertical="center"/>
    </xf>
    <xf numFmtId="173" fontId="18" fillId="55" borderId="36" xfId="786" applyNumberFormat="1" applyFont="1" applyFill="1" applyBorder="1" applyAlignment="1">
      <alignment horizontal="center" vertical="center"/>
    </xf>
    <xf numFmtId="0" fontId="18" fillId="0" borderId="42" xfId="0" applyFont="1" applyBorder="1" applyAlignment="1">
      <alignment horizontal="left" wrapText="1"/>
    </xf>
    <xf numFmtId="0" fontId="30" fillId="0" borderId="55" xfId="0" applyFont="1" applyBorder="1" applyAlignment="1">
      <alignment horizontal="left" vertical="center"/>
    </xf>
    <xf numFmtId="0" fontId="30" fillId="0" borderId="56" xfId="0" applyFont="1" applyBorder="1" applyAlignment="1">
      <alignment horizontal="left" vertical="center"/>
    </xf>
    <xf numFmtId="0" fontId="29" fillId="0" borderId="124" xfId="0" applyFont="1" applyBorder="1" applyAlignment="1">
      <alignment horizontal="left" vertical="center"/>
    </xf>
    <xf numFmtId="0" fontId="29" fillId="0" borderId="226" xfId="0" applyFont="1" applyBorder="1" applyAlignment="1">
      <alignment horizontal="left" vertical="center"/>
    </xf>
    <xf numFmtId="0" fontId="29" fillId="0" borderId="420" xfId="0" applyFont="1" applyBorder="1" applyAlignment="1">
      <alignment horizontal="left" vertical="center"/>
    </xf>
    <xf numFmtId="0" fontId="226" fillId="0" borderId="81" xfId="0" applyFont="1" applyBorder="1" applyAlignment="1">
      <alignment horizontal="left" vertical="center"/>
    </xf>
    <xf numFmtId="0" fontId="226" fillId="0" borderId="0" xfId="0" applyFont="1" applyBorder="1" applyAlignment="1">
      <alignment horizontal="left" vertical="center"/>
    </xf>
    <xf numFmtId="0" fontId="30" fillId="0" borderId="421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30" fillId="0" borderId="422" xfId="0" applyFont="1" applyBorder="1" applyAlignment="1">
      <alignment horizontal="left" vertical="center"/>
    </xf>
    <xf numFmtId="43" fontId="30" fillId="0" borderId="306" xfId="786" applyFont="1" applyBorder="1" applyAlignment="1">
      <alignment horizontal="left" vertical="center"/>
    </xf>
    <xf numFmtId="43" fontId="30" fillId="0" borderId="429" xfId="786" applyFont="1" applyBorder="1" applyAlignment="1">
      <alignment horizontal="left" vertical="center"/>
    </xf>
    <xf numFmtId="43" fontId="29" fillId="0" borderId="57" xfId="786" applyFont="1" applyBorder="1" applyAlignment="1">
      <alignment horizontal="left" vertical="center"/>
    </xf>
    <xf numFmtId="43" fontId="30" fillId="0" borderId="62" xfId="786" applyFont="1" applyBorder="1" applyAlignment="1">
      <alignment horizontal="left" vertical="center"/>
    </xf>
    <xf numFmtId="0" fontId="195" fillId="0" borderId="0" xfId="0" applyFont="1" applyAlignment="1">
      <alignment horizontal="center"/>
    </xf>
    <xf numFmtId="0" fontId="196" fillId="0" borderId="0" xfId="0" applyFont="1" applyAlignment="1">
      <alignment horizontal="center"/>
    </xf>
    <xf numFmtId="0" fontId="186" fillId="0" borderId="0" xfId="0" applyFont="1" applyAlignment="1">
      <alignment horizontal="center"/>
    </xf>
    <xf numFmtId="0" fontId="194" fillId="0" borderId="0" xfId="0" applyFont="1" applyBorder="1" applyAlignment="1">
      <alignment horizontal="center" vertical="center"/>
    </xf>
    <xf numFmtId="0" fontId="221" fillId="54" borderId="104" xfId="1531" applyFont="1" applyFill="1" applyBorder="1" applyAlignment="1">
      <alignment horizontal="center" vertical="center"/>
    </xf>
    <xf numFmtId="0" fontId="221" fillId="54" borderId="274" xfId="1531" applyFont="1" applyFill="1" applyBorder="1" applyAlignment="1">
      <alignment horizontal="center" vertical="center"/>
    </xf>
    <xf numFmtId="0" fontId="221" fillId="54" borderId="276" xfId="1531" applyFont="1" applyFill="1" applyBorder="1" applyAlignment="1">
      <alignment horizontal="center" vertical="center"/>
    </xf>
    <xf numFmtId="0" fontId="189" fillId="54" borderId="123" xfId="1531" applyFont="1" applyFill="1" applyBorder="1" applyAlignment="1">
      <alignment horizontal="center" vertical="center"/>
    </xf>
    <xf numFmtId="0" fontId="189" fillId="54" borderId="168" xfId="1531" applyFont="1" applyFill="1" applyBorder="1" applyAlignment="1">
      <alignment horizontal="center" vertical="center"/>
    </xf>
    <xf numFmtId="0" fontId="189" fillId="54" borderId="121" xfId="1531" applyFont="1" applyFill="1" applyBorder="1" applyAlignment="1">
      <alignment horizontal="center" vertical="center"/>
    </xf>
    <xf numFmtId="0" fontId="220" fillId="0" borderId="0" xfId="0" applyFont="1" applyAlignment="1">
      <alignment horizontal="center" vertical="center"/>
    </xf>
    <xf numFmtId="0" fontId="161" fillId="0" borderId="0" xfId="1621" applyFont="1" applyFill="1" applyAlignment="1">
      <alignment horizontal="center" vertical="center" wrapText="1"/>
    </xf>
    <xf numFmtId="0" fontId="164" fillId="0" borderId="0" xfId="0" applyFont="1" applyFill="1" applyAlignment="1">
      <alignment horizontal="center"/>
    </xf>
    <xf numFmtId="43" fontId="189" fillId="55" borderId="95" xfId="1101" applyFont="1" applyFill="1" applyBorder="1" applyAlignment="1">
      <alignment horizontal="center" vertical="center" wrapText="1"/>
    </xf>
    <xf numFmtId="43" fontId="189" fillId="55" borderId="89" xfId="1101" applyFont="1" applyFill="1" applyBorder="1" applyAlignment="1">
      <alignment horizontal="center" vertical="center" wrapText="1"/>
    </xf>
    <xf numFmtId="0" fontId="150" fillId="0" borderId="0" xfId="0" applyFont="1" applyFill="1" applyAlignment="1">
      <alignment horizontal="center"/>
    </xf>
    <xf numFmtId="0" fontId="217" fillId="0" borderId="0" xfId="0" applyFont="1" applyBorder="1" applyAlignment="1">
      <alignment horizontal="center" vertical="center"/>
    </xf>
    <xf numFmtId="1" fontId="162" fillId="57" borderId="111" xfId="1023" applyNumberFormat="1" applyFont="1" applyFill="1" applyBorder="1" applyAlignment="1">
      <alignment horizontal="center" vertical="center"/>
    </xf>
    <xf numFmtId="1" fontId="162" fillId="57" borderId="392" xfId="1023" applyNumberFormat="1" applyFont="1" applyFill="1" applyBorder="1" applyAlignment="1">
      <alignment horizontal="center" vertical="center"/>
    </xf>
    <xf numFmtId="43" fontId="162" fillId="57" borderId="112" xfId="1023" applyFont="1" applyFill="1" applyBorder="1" applyAlignment="1">
      <alignment horizontal="center" vertical="center"/>
    </xf>
    <xf numFmtId="43" fontId="162" fillId="57" borderId="393" xfId="1023" applyFont="1" applyFill="1" applyBorder="1" applyAlignment="1">
      <alignment horizontal="center" vertical="center"/>
    </xf>
    <xf numFmtId="43" fontId="162" fillId="57" borderId="121" xfId="1023" applyFont="1" applyFill="1" applyBorder="1" applyAlignment="1">
      <alignment horizontal="center" vertical="center"/>
    </xf>
    <xf numFmtId="43" fontId="162" fillId="57" borderId="394" xfId="1023" applyFont="1" applyFill="1" applyBorder="1" applyAlignment="1">
      <alignment horizontal="center" vertical="center"/>
    </xf>
    <xf numFmtId="0" fontId="186" fillId="0" borderId="0" xfId="0" applyFont="1"/>
    <xf numFmtId="0" fontId="196" fillId="0" borderId="0" xfId="0" applyFont="1" applyAlignment="1">
      <alignment horizontal="center" vertical="center"/>
    </xf>
    <xf numFmtId="0" fontId="186" fillId="0" borderId="0" xfId="0" applyFont="1" applyAlignment="1">
      <alignment horizontal="center" vertical="center"/>
    </xf>
    <xf numFmtId="0" fontId="178" fillId="2" borderId="167" xfId="0" applyFont="1" applyFill="1" applyBorder="1" applyAlignment="1">
      <alignment horizontal="center" vertical="center"/>
    </xf>
    <xf numFmtId="0" fontId="178" fillId="2" borderId="30" xfId="0" applyFont="1" applyFill="1" applyBorder="1" applyAlignment="1">
      <alignment horizontal="center" vertical="center"/>
    </xf>
    <xf numFmtId="0" fontId="178" fillId="2" borderId="233" xfId="0" applyFont="1" applyFill="1" applyBorder="1" applyAlignment="1">
      <alignment horizontal="center" vertical="center"/>
    </xf>
    <xf numFmtId="0" fontId="178" fillId="2" borderId="49" xfId="0" applyFont="1" applyFill="1" applyBorder="1" applyAlignment="1">
      <alignment horizontal="center" vertical="center"/>
    </xf>
    <xf numFmtId="0" fontId="178" fillId="2" borderId="50" xfId="0" applyFont="1" applyFill="1" applyBorder="1" applyAlignment="1">
      <alignment horizontal="center" vertical="center"/>
    </xf>
    <xf numFmtId="0" fontId="178" fillId="2" borderId="90" xfId="0" applyFont="1" applyFill="1" applyBorder="1" applyAlignment="1">
      <alignment horizontal="center" vertical="center"/>
    </xf>
    <xf numFmtId="1" fontId="213" fillId="0" borderId="0" xfId="1023" applyNumberFormat="1" applyFont="1" applyFill="1" applyBorder="1" applyAlignment="1">
      <alignment horizontal="center" vertical="center"/>
    </xf>
    <xf numFmtId="43" fontId="162" fillId="0" borderId="0" xfId="1023" applyFont="1" applyFill="1" applyBorder="1" applyAlignment="1">
      <alignment horizontal="center" vertical="center"/>
    </xf>
    <xf numFmtId="0" fontId="178" fillId="2" borderId="95" xfId="0" applyFont="1" applyFill="1" applyBorder="1" applyAlignment="1">
      <alignment horizontal="center" vertical="center"/>
    </xf>
    <xf numFmtId="0" fontId="178" fillId="2" borderId="89" xfId="0" applyFont="1" applyFill="1" applyBorder="1" applyAlignment="1">
      <alignment horizontal="center" vertical="center"/>
    </xf>
    <xf numFmtId="0" fontId="177" fillId="0" borderId="0" xfId="0" applyFont="1"/>
    <xf numFmtId="0" fontId="177" fillId="0" borderId="0" xfId="0" applyFont="1" applyAlignment="1">
      <alignment horizontal="center"/>
    </xf>
    <xf numFmtId="0" fontId="178" fillId="2" borderId="88" xfId="0" applyFont="1" applyFill="1" applyBorder="1" applyAlignment="1">
      <alignment horizontal="center" vertical="center"/>
    </xf>
    <xf numFmtId="0" fontId="178" fillId="2" borderId="310" xfId="0" applyFont="1" applyFill="1" applyBorder="1" applyAlignment="1">
      <alignment horizontal="center" vertical="center"/>
    </xf>
    <xf numFmtId="0" fontId="178" fillId="2" borderId="0" xfId="0" applyFont="1" applyFill="1" applyBorder="1" applyAlignment="1">
      <alignment horizontal="center" vertical="center"/>
    </xf>
    <xf numFmtId="0" fontId="178" fillId="2" borderId="438" xfId="0" applyFont="1" applyFill="1" applyBorder="1" applyAlignment="1">
      <alignment horizontal="center" vertical="center"/>
    </xf>
    <xf numFmtId="0" fontId="218" fillId="0" borderId="466" xfId="0" applyFont="1" applyBorder="1" applyAlignment="1">
      <alignment horizontal="left" vertical="center" wrapText="1"/>
    </xf>
    <xf numFmtId="0" fontId="218" fillId="0" borderId="467" xfId="0" applyFont="1" applyBorder="1" applyAlignment="1">
      <alignment horizontal="left" vertical="center" wrapText="1"/>
    </xf>
    <xf numFmtId="1" fontId="12" fillId="57" borderId="141" xfId="1023" applyNumberFormat="1" applyFont="1" applyFill="1" applyBorder="1" applyAlignment="1">
      <alignment horizontal="center" vertical="center"/>
    </xf>
    <xf numFmtId="43" fontId="12" fillId="57" borderId="141" xfId="1023" applyFont="1" applyFill="1" applyBorder="1" applyAlignment="1">
      <alignment horizontal="center" vertical="center"/>
    </xf>
    <xf numFmtId="43" fontId="12" fillId="57" borderId="142" xfId="1023" applyFont="1" applyFill="1" applyBorder="1" applyAlignment="1">
      <alignment horizontal="center" vertical="center"/>
    </xf>
    <xf numFmtId="43" fontId="12" fillId="57" borderId="345" xfId="1023" applyFont="1" applyFill="1" applyBorder="1" applyAlignment="1">
      <alignment horizontal="center" vertical="center"/>
    </xf>
    <xf numFmtId="43" fontId="12" fillId="57" borderId="157" xfId="1023" applyFont="1" applyFill="1" applyBorder="1" applyAlignment="1">
      <alignment horizontal="center" vertical="center"/>
    </xf>
    <xf numFmtId="1" fontId="210" fillId="57" borderId="141" xfId="1023" applyNumberFormat="1" applyFont="1" applyFill="1" applyBorder="1" applyAlignment="1">
      <alignment horizontal="center" vertical="center"/>
    </xf>
    <xf numFmtId="43" fontId="210" fillId="57" borderId="141" xfId="1023" applyFont="1" applyFill="1" applyBorder="1" applyAlignment="1">
      <alignment horizontal="center" vertical="center"/>
    </xf>
    <xf numFmtId="43" fontId="210" fillId="57" borderId="142" xfId="1023" applyFont="1" applyFill="1" applyBorder="1" applyAlignment="1">
      <alignment horizontal="center" vertical="center"/>
    </xf>
    <xf numFmtId="43" fontId="210" fillId="57" borderId="345" xfId="1023" applyFont="1" applyFill="1" applyBorder="1" applyAlignment="1">
      <alignment horizontal="center" vertical="center"/>
    </xf>
    <xf numFmtId="0" fontId="0" fillId="57" borderId="112" xfId="0" applyFill="1" applyBorder="1" applyAlignment="1">
      <alignment horizontal="center"/>
    </xf>
    <xf numFmtId="0" fontId="0" fillId="57" borderId="113" xfId="0" applyFill="1" applyBorder="1" applyAlignment="1">
      <alignment horizontal="center"/>
    </xf>
    <xf numFmtId="0" fontId="18" fillId="0" borderId="202" xfId="1462" applyFont="1" applyBorder="1" applyAlignment="1">
      <alignment horizontal="center"/>
    </xf>
    <xf numFmtId="0" fontId="18" fillId="0" borderId="203" xfId="1462" applyFont="1" applyBorder="1" applyAlignment="1">
      <alignment horizontal="center"/>
    </xf>
    <xf numFmtId="0" fontId="4" fillId="0" borderId="0" xfId="1462" applyFont="1" applyAlignment="1">
      <alignment horizontal="center"/>
    </xf>
    <xf numFmtId="0" fontId="154" fillId="0" borderId="194" xfId="1462" applyFont="1" applyBorder="1" applyAlignment="1">
      <alignment horizontal="center" vertical="center"/>
    </xf>
    <xf numFmtId="0" fontId="154" fillId="0" borderId="195" xfId="1462" applyFont="1" applyBorder="1" applyAlignment="1">
      <alignment horizontal="center" vertical="center"/>
    </xf>
    <xf numFmtId="0" fontId="154" fillId="0" borderId="198" xfId="1462" applyFont="1" applyBorder="1" applyAlignment="1">
      <alignment horizontal="center" vertical="center"/>
    </xf>
    <xf numFmtId="0" fontId="154" fillId="0" borderId="196" xfId="1462" applyFont="1" applyBorder="1" applyAlignment="1">
      <alignment horizontal="center" vertical="center"/>
    </xf>
    <xf numFmtId="0" fontId="18" fillId="0" borderId="202" xfId="1462" applyBorder="1" applyAlignment="1">
      <alignment horizontal="center"/>
    </xf>
    <xf numFmtId="0" fontId="18" fillId="0" borderId="203" xfId="1462" applyBorder="1" applyAlignment="1">
      <alignment horizontal="center"/>
    </xf>
    <xf numFmtId="43" fontId="0" fillId="51" borderId="0" xfId="0" applyNumberFormat="1" applyFill="1"/>
    <xf numFmtId="41" fontId="232" fillId="0" borderId="0" xfId="803" applyFont="1"/>
    <xf numFmtId="41" fontId="0" fillId="0" borderId="0" xfId="0" applyNumberFormat="1"/>
    <xf numFmtId="4" fontId="233" fillId="0" borderId="0" xfId="0" applyNumberFormat="1" applyFont="1"/>
    <xf numFmtId="0" fontId="0" fillId="0" borderId="393" xfId="0" applyBorder="1"/>
    <xf numFmtId="0" fontId="0" fillId="0" borderId="393" xfId="0" applyBorder="1" applyAlignment="1">
      <alignment horizontal="center"/>
    </xf>
    <xf numFmtId="0" fontId="18" fillId="0" borderId="393" xfId="0" applyFont="1" applyBorder="1" applyAlignment="1">
      <alignment horizontal="center"/>
    </xf>
    <xf numFmtId="174" fontId="0" fillId="0" borderId="0" xfId="803" applyNumberFormat="1" applyFont="1"/>
    <xf numFmtId="174" fontId="0" fillId="0" borderId="0" xfId="0" applyNumberFormat="1"/>
    <xf numFmtId="239" fontId="0" fillId="0" borderId="0" xfId="0" applyNumberFormat="1" applyAlignment="1">
      <alignment horizontal="center" vertical="center"/>
    </xf>
    <xf numFmtId="174" fontId="0" fillId="0" borderId="393" xfId="803" applyNumberFormat="1" applyFont="1" applyBorder="1"/>
    <xf numFmtId="239" fontId="0" fillId="0" borderId="393" xfId="0" applyNumberFormat="1" applyBorder="1" applyAlignment="1">
      <alignment horizontal="center" vertical="center"/>
    </xf>
  </cellXfs>
  <cellStyles count="1854">
    <cellStyle name="%" xfId="1"/>
    <cellStyle name=",." xfId="2"/>
    <cellStyle name="､@ｯ・BQ10a" xfId="3"/>
    <cellStyle name="､@ｯ・BQSUM" xfId="4"/>
    <cellStyle name="､@ｯ・BQSUM(D)" xfId="5"/>
    <cellStyle name="､@ｯ・BQSUM_426-Bill Of Item VACorig" xfId="6"/>
    <cellStyle name="､d､ﾀｦ・BQ10a" xfId="7"/>
    <cellStyle name="､d､ﾀｦ・BQSUM" xfId="8"/>
    <cellStyle name="､d､ﾀｦ・BQSUM(D)" xfId="9"/>
    <cellStyle name="､d､ﾀｦ・BQSUM_BQ CIVIL DENSO" xfId="10"/>
    <cellStyle name="??" xfId="11"/>
    <cellStyle name="?? [0.00]_PERSONAL" xfId="12"/>
    <cellStyle name="?? [0]" xfId="13"/>
    <cellStyle name="???? [0.00]_PERSONAL" xfId="14"/>
    <cellStyle name="????_PERSONAL" xfId="15"/>
    <cellStyle name="???[0]_Book1" xfId="16"/>
    <cellStyle name="???_95" xfId="17"/>
    <cellStyle name="??_(????)??????" xfId="18"/>
    <cellStyle name="?…?a唇?e [0.00]_?\拶?A?\氏・A?U・" xfId="19"/>
    <cellStyle name="?…?a唇?e_?\拶?A?\氏・A?U・" xfId="20"/>
    <cellStyle name="?W準_?\拶?A?\氏・A?U・" xfId="21"/>
    <cellStyle name="@ET_Style?CF_Style_1" xfId="22"/>
    <cellStyle name="’E‰Y [0.00]_?\拶?A?\氏・A?U・" xfId="23"/>
    <cellStyle name="’Ê‰Ý [0.00]_ˆ¥A‚Æ•\†‚Æ–ÚŸ" xfId="24"/>
    <cellStyle name="’E‰Y [0.00]_addhp (2)" xfId="25"/>
    <cellStyle name="’Ê‰Ý [0.00]_addhp (2)" xfId="26"/>
    <cellStyle name="’E‰Y [0.00]_addhp (2)_BQ ROHM-Genset (rev.1)" xfId="27"/>
    <cellStyle name="’Ê‰Ý [0.00]_addhp (2)_BQ ROHM-Genset (rev.1)" xfId="28"/>
    <cellStyle name="’E‰Y [0.00]_Alternative NetBQ" xfId="29"/>
    <cellStyle name="’Ê‰Ý [0.00]_Alternative NetBQ" xfId="30"/>
    <cellStyle name="’E‰Y [0.00]_BQ" xfId="31"/>
    <cellStyle name="’Ê‰Ý [0.00]_BQ" xfId="32"/>
    <cellStyle name="’E‰Y [0.00]_BQ (2)" xfId="33"/>
    <cellStyle name="’Ê‰Ý [0.00]_BQ (2)" xfId="34"/>
    <cellStyle name="’E‰Y [0.00]_BQ (2)_BQ ROHM-Genset (rev.1)" xfId="35"/>
    <cellStyle name="’Ê‰Ý [0.00]_BQ (2)_BQ ROHM-Genset (rev.1)" xfId="36"/>
    <cellStyle name="’E‰Y [0.00]_BQ(2)" xfId="37"/>
    <cellStyle name="’Ê‰Ý [0.00]_BQ(2)" xfId="38"/>
    <cellStyle name="’E‰Y [0.00]_BQ(2)_BQ ROHM-Genset (rev.1)" xfId="39"/>
    <cellStyle name="’Ê‰Ý [0.00]_BQ(2)_BQ ROHM-Genset (rev.1)" xfId="40"/>
    <cellStyle name="’E‰Y [0.00]_BQ_BQ ROHM-Genset (rev.1)" xfId="41"/>
    <cellStyle name="’Ê‰Ý [0.00]_BQ_BQ ROHM-Genset (rev.1)" xfId="42"/>
    <cellStyle name="’E‰Y [0.00]_BQ2" xfId="43"/>
    <cellStyle name="’Ê‰Ý [0.00]_BQ2" xfId="44"/>
    <cellStyle name="’E‰Y [0.00]_BQ2_BQ ROHM-Genset (rev.1)" xfId="45"/>
    <cellStyle name="’Ê‰Ý [0.00]_BQ2_BQ ROHM-Genset (rev.1)" xfId="46"/>
    <cellStyle name="’E‰Y [0.00]_DRAFT(2)" xfId="47"/>
    <cellStyle name="’Ê‰Ý [0.00]_DRAFT(2)" xfId="48"/>
    <cellStyle name="’E‰Y [0.00]_DRAFT(2)_BQ ROHM-Genset (rev.1)" xfId="49"/>
    <cellStyle name="’Ê‰Ý [0.00]_DRAFT(2)_BQ ROHM-Genset (rev.1)" xfId="50"/>
    <cellStyle name="’E‰Y [0.00]_external" xfId="51"/>
    <cellStyle name="’Ê‰Ý [0.00]_external" xfId="52"/>
    <cellStyle name="’E‰Y [0.00]_external_BQ ROHM-Genset (rev.1)" xfId="53"/>
    <cellStyle name="’Ê‰Ý [0.00]_external_BQ ROHM-Genset (rev.1)" xfId="54"/>
    <cellStyle name="’E‰Y [0.00]_factory" xfId="55"/>
    <cellStyle name="’Ê‰Ý [0.00]_factory" xfId="56"/>
    <cellStyle name="’E‰Y [0.00]_factory (2)" xfId="57"/>
    <cellStyle name="’Ê‰Ý [0.00]_factory (2)" xfId="58"/>
    <cellStyle name="’E‰Y [0.00]_factory (2)_BQ ROHM-Genset (rev.1)" xfId="59"/>
    <cellStyle name="’Ê‰Ý [0.00]_factory (2)_BQ ROHM-Genset (rev.1)" xfId="60"/>
    <cellStyle name="’E‰Y [0.00]_factory_BQ ROHM-Genset (rev.1)" xfId="61"/>
    <cellStyle name="’Ê‰Ý [0.00]_factory_BQ ROHM-Genset (rev.1)" xfId="62"/>
    <cellStyle name="’E‰Y [0.00]_futaba" xfId="63"/>
    <cellStyle name="’Ê‰Ý [0.00]_futaba" xfId="64"/>
    <cellStyle name="’E‰Y [0.00]_futaba_BQ ROHM-Genset (rev.1)" xfId="65"/>
    <cellStyle name="’Ê‰Ý [0.00]_futaba_BQ ROHM-Genset (rev.1)" xfId="66"/>
    <cellStyle name="’E‰Y [0.00]_GI WWT" xfId="67"/>
    <cellStyle name="’Ê‰Ý [0.00]_GI WWT" xfId="68"/>
    <cellStyle name="’E‰Y [0.00]_GI WWT_BQ ROHM-Genset (rev.1)" xfId="69"/>
    <cellStyle name="’Ê‰Ý [0.00]_GI WWT_BQ ROHM-Genset (rev.1)" xfId="70"/>
    <cellStyle name="’E‰Y [0.00]_GI 香Z" xfId="71"/>
    <cellStyle name="’Ê‰Ý [0.00]_guard house" xfId="72"/>
    <cellStyle name="’E‰Y [0.00]_laroux" xfId="73"/>
    <cellStyle name="’Ê‰Ý [0.00]_laroux" xfId="74"/>
    <cellStyle name="’E‰Y [0.00]_laroux_?c蝕潤e" xfId="75"/>
    <cellStyle name="’Ê‰Ý [0.00]_laroux_laroux" xfId="76"/>
    <cellStyle name="’E‰Y [0.00]_laroux_MBQ (2)" xfId="77"/>
    <cellStyle name="’Ê‰Ý [0.00]_laroux_MBQ (2)" xfId="78"/>
    <cellStyle name="’E‰Y [0.00]_laroux_Sheet1" xfId="79"/>
    <cellStyle name="’Ê‰Ý [0.00]_laroux_Sheet1" xfId="80"/>
    <cellStyle name="’E‰Y [0.00]_laroux_Sheet1_BQ ROHM-Genset (rev.1)" xfId="81"/>
    <cellStyle name="’Ê‰Ý [0.00]_laroux_Sheet1_BQ ROHM-Genset (rev.1)" xfId="82"/>
    <cellStyle name="’E‰Y [0.00]_M BQ" xfId="83"/>
    <cellStyle name="’Ê‰Ý [0.00]_M BQ" xfId="84"/>
    <cellStyle name="’E‰Y [0.00]_M BQ_BQ ROHM-Genset (rev.1)" xfId="85"/>
    <cellStyle name="’Ê‰Ý [0.00]_M BQ_BQ ROHM-Genset (rev.1)" xfId="86"/>
    <cellStyle name="’E‰Y [0.00]_M summary" xfId="87"/>
    <cellStyle name="’Ê‰Ý [0.00]_M summary" xfId="88"/>
    <cellStyle name="’E‰Y [0.00]_M summary_BQ ROHM-Genset (rev.1)" xfId="89"/>
    <cellStyle name="’Ê‰Ý [0.00]_M summary_BQ ROHM-Genset (rev.1)" xfId="90"/>
    <cellStyle name="’E‰Y [0.00]_NETSUMMARYDATA" xfId="91"/>
    <cellStyle name="’Ê‰Ý [0.00]_NETSUMMARYDATA" xfId="92"/>
    <cellStyle name="’E‰Y [0.00]_powerhouse" xfId="93"/>
    <cellStyle name="’Ê‰Ý [0.00]_powerhouse" xfId="94"/>
    <cellStyle name="’E‰Y [0.00]_powerhouse_BQ ROHM-Genset (rev.1)" xfId="95"/>
    <cellStyle name="’Ê‰Ý [0.00]_powerhouse_BQ ROHM-Genset (rev.1)" xfId="96"/>
    <cellStyle name="’E‰Y [0.00]_RC1 " xfId="97"/>
    <cellStyle name="’Ê‰Ý [0.00]_RC1 " xfId="98"/>
    <cellStyle name="’E‰Y [0.00]_RC1 _BQ ROHM-Genset (rev.1)" xfId="99"/>
    <cellStyle name="’Ê‰Ý [0.00]_RC1 _BQ ROHM-Genset (rev.1)" xfId="100"/>
    <cellStyle name="’E‰Y [0.00]_Sheet1" xfId="101"/>
    <cellStyle name="’Ê‰Ý [0.00]_Sheet1" xfId="102"/>
    <cellStyle name="’E‰Y [0.00]_Sheet1_BQ ROHM-Genset (rev.1)" xfId="103"/>
    <cellStyle name="’Ê‰Ý [0.00]_Sheet1_BQ ROHM-Genset (rev.1)" xfId="104"/>
    <cellStyle name="’E‰Y [0.00]_SQG1" xfId="105"/>
    <cellStyle name="’Ê‰Ý [0.00]_SQG1" xfId="106"/>
    <cellStyle name="’E‰Y [0.00]_SQG1 (2)" xfId="107"/>
    <cellStyle name="’Ê‰Ý [0.00]_SQG1 (2)" xfId="108"/>
    <cellStyle name="’E‰Y [0.00]_SQG1 (2)_BQ ROHM-Genset (rev.1)" xfId="109"/>
    <cellStyle name="’Ê‰Ý [0.00]_SQG1 (2)_BQ ROHM-Genset (rev.1)" xfId="110"/>
    <cellStyle name="’E‰Y [0.00]_SQG1_BQ ROHM-Genset (rev.1)" xfId="111"/>
    <cellStyle name="’Ê‰Ý [0.00]_SQG1_BQ ROHM-Genset (rev.1)" xfId="112"/>
    <cellStyle name="’E‰Y [0.00]_summary" xfId="113"/>
    <cellStyle name="’Ê‰Ý [0.00]_summary" xfId="114"/>
    <cellStyle name="’E‰Y [0.00]_Summary of Net alternative" xfId="115"/>
    <cellStyle name="’Ê‰Ý [0.00]_Summary of Net alternative" xfId="116"/>
    <cellStyle name="’E‰Y [0.00]_summary_BQ ROHM-Genset (rev.1)" xfId="117"/>
    <cellStyle name="’Ê‰Ý [0.00]_summary_BQ ROHM-Genset (rev.1)" xfId="118"/>
    <cellStyle name="’E‰Y [0.00]_集?v?\" xfId="119"/>
    <cellStyle name="’E‰Y_?\拶?A?\氏・A?U・" xfId="120"/>
    <cellStyle name="’Ê‰Ý_ˆ¥A‚Æ•\†‚Æ–ÚŸ" xfId="121"/>
    <cellStyle name="’E‰Y_addhp (2)" xfId="122"/>
    <cellStyle name="’Ê‰Ý_addhp (2)" xfId="123"/>
    <cellStyle name="’E‰Y_addhp (2)_BQ ROHM-Genset (rev.1)" xfId="124"/>
    <cellStyle name="’Ê‰Ý_addhp (2)_BQ ROHM-Genset (rev.1)" xfId="125"/>
    <cellStyle name="’E‰Y_Alternative NetBQ" xfId="126"/>
    <cellStyle name="’Ê‰Ý_Alternative NetBQ" xfId="127"/>
    <cellStyle name="’E‰Y_BQ" xfId="128"/>
    <cellStyle name="’Ê‰Ý_BQ" xfId="129"/>
    <cellStyle name="’E‰Y_BQ (2)" xfId="130"/>
    <cellStyle name="’Ê‰Ý_BQ (2)" xfId="131"/>
    <cellStyle name="’E‰Y_BQ (2)_BQ ROHM-Genset (rev.1)" xfId="132"/>
    <cellStyle name="’Ê‰Ý_BQ (2)_BQ ROHM-Genset (rev.1)" xfId="133"/>
    <cellStyle name="’E‰Y_BQ(2)" xfId="134"/>
    <cellStyle name="’Ê‰Ý_BQ(2)" xfId="135"/>
    <cellStyle name="’E‰Y_BQ(2)_BQ ROHM-Genset (rev.1)" xfId="136"/>
    <cellStyle name="’Ê‰Ý_BQ(2)_BQ ROHM-Genset (rev.1)" xfId="137"/>
    <cellStyle name="’E‰Y_BQ_BQ ROHM-Genset (rev.1)" xfId="138"/>
    <cellStyle name="’Ê‰Ý_BQ_BQ ROHM-Genset (rev.1)" xfId="139"/>
    <cellStyle name="’E‰Y_BQ2" xfId="140"/>
    <cellStyle name="’Ê‰Ý_BQ2" xfId="141"/>
    <cellStyle name="’E‰Y_BQ2_BQ ROHM-Genset (rev.1)" xfId="142"/>
    <cellStyle name="’Ê‰Ý_BQ2_BQ ROHM-Genset (rev.1)" xfId="143"/>
    <cellStyle name="’E‰Y_DRAFT(2)" xfId="144"/>
    <cellStyle name="’Ê‰Ý_DRAFT(2)" xfId="145"/>
    <cellStyle name="’E‰Y_DRAFT(2)_BQ ROHM-Genset (rev.1)" xfId="146"/>
    <cellStyle name="’Ê‰Ý_DRAFT(2)_BQ ROHM-Genset (rev.1)" xfId="147"/>
    <cellStyle name="’E‰Y_external" xfId="148"/>
    <cellStyle name="’Ê‰Ý_external" xfId="149"/>
    <cellStyle name="’E‰Y_external_BQ ROHM-Genset (rev.1)" xfId="150"/>
    <cellStyle name="’Ê‰Ý_external_BQ ROHM-Genset (rev.1)" xfId="151"/>
    <cellStyle name="’E‰Y_factory" xfId="152"/>
    <cellStyle name="’Ê‰Ý_factory" xfId="153"/>
    <cellStyle name="’E‰Y_factory (2)" xfId="154"/>
    <cellStyle name="’Ê‰Ý_factory (2)" xfId="155"/>
    <cellStyle name="’E‰Y_factory (2)_BQ ROHM-Genset (rev.1)" xfId="156"/>
    <cellStyle name="’Ê‰Ý_factory (2)_BQ ROHM-Genset (rev.1)" xfId="157"/>
    <cellStyle name="’E‰Y_factory_BQ ROHM-Genset (rev.1)" xfId="158"/>
    <cellStyle name="’Ê‰Ý_factory_BQ ROHM-Genset (rev.1)" xfId="159"/>
    <cellStyle name="’E‰Y_futaba" xfId="160"/>
    <cellStyle name="’Ê‰Ý_futaba" xfId="161"/>
    <cellStyle name="’E‰Y_futaba_BQ ROHM-Genset (rev.1)" xfId="162"/>
    <cellStyle name="’Ê‰Ý_futaba_BQ ROHM-Genset (rev.1)" xfId="163"/>
    <cellStyle name="’E‰Y_GI WWT" xfId="164"/>
    <cellStyle name="’Ê‰Ý_GI WWT" xfId="165"/>
    <cellStyle name="’E‰Y_GI WWT_BQ ROHM-Genset (rev.1)" xfId="166"/>
    <cellStyle name="’Ê‰Ý_GI WWT_BQ ROHM-Genset (rev.1)" xfId="167"/>
    <cellStyle name="’E‰Y_GI 香Z" xfId="168"/>
    <cellStyle name="’Ê‰Ý_guard house" xfId="169"/>
    <cellStyle name="’E‰Y_laroux" xfId="170"/>
    <cellStyle name="’Ê‰Ý_laroux" xfId="171"/>
    <cellStyle name="’E‰Y_laroux_?c蝕潤e" xfId="172"/>
    <cellStyle name="’Ê‰Ý_laroux_laroux" xfId="173"/>
    <cellStyle name="’E‰Y_laroux_MBQ (2)" xfId="174"/>
    <cellStyle name="’Ê‰Ý_laroux_MBQ (2)" xfId="175"/>
    <cellStyle name="’E‰Y_laroux_Sheet1" xfId="176"/>
    <cellStyle name="’Ê‰Ý_laroux_Sheet1" xfId="177"/>
    <cellStyle name="’E‰Y_laroux_Sheet1_BQ ROHM-Genset (rev.1)" xfId="178"/>
    <cellStyle name="’Ê‰Ý_laroux_Sheet1_BQ ROHM-Genset (rev.1)" xfId="179"/>
    <cellStyle name="’E‰Y_M BQ" xfId="180"/>
    <cellStyle name="’Ê‰Ý_M BQ" xfId="181"/>
    <cellStyle name="’E‰Y_M BQ_BQ ROHM-Genset (rev.1)" xfId="182"/>
    <cellStyle name="’Ê‰Ý_M BQ_BQ ROHM-Genset (rev.1)" xfId="183"/>
    <cellStyle name="’E‰Y_M summary" xfId="184"/>
    <cellStyle name="’Ê‰Ý_M summary" xfId="185"/>
    <cellStyle name="’E‰Y_M summary_BQ ROHM-Genset (rev.1)" xfId="186"/>
    <cellStyle name="’Ê‰Ý_M summary_BQ ROHM-Genset (rev.1)" xfId="187"/>
    <cellStyle name="’E‰Y_NETSUMMARYDATA" xfId="188"/>
    <cellStyle name="’Ê‰Ý_NETSUMMARYDATA" xfId="189"/>
    <cellStyle name="’E‰Y_powerhouse" xfId="190"/>
    <cellStyle name="’Ê‰Ý_powerhouse" xfId="191"/>
    <cellStyle name="’E‰Y_powerhouse_BQ ROHM-Genset (rev.1)" xfId="192"/>
    <cellStyle name="’Ê‰Ý_powerhouse_BQ ROHM-Genset (rev.1)" xfId="193"/>
    <cellStyle name="’E‰Y_RC1 " xfId="194"/>
    <cellStyle name="’Ê‰Ý_RC1 " xfId="195"/>
    <cellStyle name="’E‰Y_RC1 _BQ ROHM-Genset (rev.1)" xfId="196"/>
    <cellStyle name="’Ê‰Ý_RC1 _BQ ROHM-Genset (rev.1)" xfId="197"/>
    <cellStyle name="’E‰Y_Sheet1" xfId="198"/>
    <cellStyle name="’Ê‰Ý_Sheet1" xfId="199"/>
    <cellStyle name="’E‰Y_Sheet1_BQ ROHM-Genset (rev.1)" xfId="200"/>
    <cellStyle name="’Ê‰Ý_Sheet1_BQ ROHM-Genset (rev.1)" xfId="201"/>
    <cellStyle name="’E‰Y_SQG1" xfId="202"/>
    <cellStyle name="’Ê‰Ý_SQG1" xfId="203"/>
    <cellStyle name="’E‰Y_SQG1 (2)" xfId="204"/>
    <cellStyle name="’Ê‰Ý_SQG1 (2)" xfId="205"/>
    <cellStyle name="’E‰Y_SQG1 (2)_BQ ROHM-Genset (rev.1)" xfId="206"/>
    <cellStyle name="’Ê‰Ý_SQG1 (2)_BQ ROHM-Genset (rev.1)" xfId="207"/>
    <cellStyle name="’E‰Y_SQG1_BQ ROHM-Genset (rev.1)" xfId="208"/>
    <cellStyle name="’Ê‰Ý_SQG1_BQ ROHM-Genset (rev.1)" xfId="209"/>
    <cellStyle name="’E‰Y_summary" xfId="210"/>
    <cellStyle name="’Ê‰Ý_summary" xfId="211"/>
    <cellStyle name="’E‰Y_Summary of Net alternative" xfId="212"/>
    <cellStyle name="’Ê‰Ý_Summary of Net alternative" xfId="213"/>
    <cellStyle name="’E‰Y_summary_BQ ROHM-Genset (rev.1)" xfId="214"/>
    <cellStyle name="’Ê‰Ý_summary_BQ ROHM-Genset (rev.1)" xfId="215"/>
    <cellStyle name="’E‰Y_集?v?\" xfId="216"/>
    <cellStyle name="‚" xfId="217"/>
    <cellStyle name="‚_ALTERNATIF - I KBI (Kyoraku Blow molding)" xfId="218"/>
    <cellStyle name="‚_ANALISA HARGA Mekanikal Dklat" xfId="219"/>
    <cellStyle name="‚_BQ-E" xfId="220"/>
    <cellStyle name="‚_BQ-E_Bq-M-23 August 2004" xfId="221"/>
    <cellStyle name="‚_BQ-elec-kiic4(D) " xfId="222"/>
    <cellStyle name="‚_Bq-Form Mech ( Baru ) 05" xfId="223"/>
    <cellStyle name="‚_BQ-Mech. Summitmas II" xfId="224"/>
    <cellStyle name="‚_BQ-Moric-Elec (A)" xfId="225"/>
    <cellStyle name="‚_BQ-SHIBAURA SHEARING" xfId="226"/>
    <cellStyle name="‚_BQ-SHIBAURA SHEARING(Cancel)" xfId="227"/>
    <cellStyle name="‚_BQ-YAMAHA FLAGSHIP-A" xfId="228"/>
    <cellStyle name="‚_Expense" xfId="229"/>
    <cellStyle name="‚_MAKER LIST" xfId="230"/>
    <cellStyle name="‚_sex" xfId="231"/>
    <cellStyle name="‚_sex_b1.57.1417.2004(B)" xfId="232"/>
    <cellStyle name="‚_sex_b1.57.1417.2004(B)_Bq-M-23 August 2004" xfId="233"/>
    <cellStyle name="‚_sex_Bq-M-23 August 2004" xfId="234"/>
    <cellStyle name="”n?\旨" xfId="235"/>
    <cellStyle name="”ñ•\¦" xfId="236"/>
    <cellStyle name="„" xfId="237"/>
    <cellStyle name="„_ALTERNATIF - I KBI (Kyoraku Blow molding)" xfId="238"/>
    <cellStyle name="„_ANALISA HARGA Mekanikal Dklat" xfId="239"/>
    <cellStyle name="„_BQ-E" xfId="240"/>
    <cellStyle name="„_BQ-E_Bq-M-23 August 2004" xfId="241"/>
    <cellStyle name="„_BQ-elec-kiic4(D) " xfId="242"/>
    <cellStyle name="„_Bq-Form Mech ( Baru ) 05" xfId="243"/>
    <cellStyle name="„_BQ-Mech. Summitmas II" xfId="244"/>
    <cellStyle name="„_BQ-Moric-Elec (A)" xfId="245"/>
    <cellStyle name="„_BQ-SHIBAURA SHEARING" xfId="246"/>
    <cellStyle name="„_BQ-SHIBAURA SHEARING(Cancel)" xfId="247"/>
    <cellStyle name="„_BQ-YAMAHA FLAGSHIP-A" xfId="248"/>
    <cellStyle name="„_Expense" xfId="249"/>
    <cellStyle name="„_MAKER LIST" xfId="250"/>
    <cellStyle name="„_sex" xfId="251"/>
    <cellStyle name="„_sex_b1.57.1417.2004(B)" xfId="252"/>
    <cellStyle name="„_sex_b1.57.1417.2004(B)_Bq-M-23 August 2004" xfId="253"/>
    <cellStyle name="„_sex_Bq-M-23 August 2004" xfId="254"/>
    <cellStyle name="–¢’è‹`" xfId="255"/>
    <cellStyle name="…" xfId="256"/>
    <cellStyle name="…_ALTERNATIF - I KBI (Kyoraku Blow molding)" xfId="257"/>
    <cellStyle name="…_ANALISA HARGA Mekanikal Dklat" xfId="258"/>
    <cellStyle name="…_BQ-E" xfId="259"/>
    <cellStyle name="…_BQ-E_Bq-M-23 August 2004" xfId="260"/>
    <cellStyle name="…_BQ-elec-kiic4(D) " xfId="261"/>
    <cellStyle name="…_Bq-Form Mech ( Baru ) 05" xfId="262"/>
    <cellStyle name="…_BQ-Mech. Summitmas II" xfId="263"/>
    <cellStyle name="…_BQ-Moric-Elec (A)" xfId="264"/>
    <cellStyle name="…_BQ-SHIBAURA SHEARING" xfId="265"/>
    <cellStyle name="…_BQ-SHIBAURA SHEARING(Cancel)" xfId="266"/>
    <cellStyle name="…_BQ-YAMAHA FLAGSHIP-A" xfId="267"/>
    <cellStyle name="…_Expense" xfId="268"/>
    <cellStyle name="…_MAKER LIST" xfId="269"/>
    <cellStyle name="…_sex" xfId="270"/>
    <cellStyle name="…_sex_b1.57.1417.2004(B)" xfId="271"/>
    <cellStyle name="…_sex_b1.57.1417.2004(B)_Bq-M-23 August 2004" xfId="272"/>
    <cellStyle name="…_sex_Bq-M-23 August 2004" xfId="273"/>
    <cellStyle name="†" xfId="274"/>
    <cellStyle name="†_ALTERNATIF - I KBI (Kyoraku Blow molding)" xfId="275"/>
    <cellStyle name="†_ANALISA HARGA Mekanikal Dklat" xfId="276"/>
    <cellStyle name="†_BQ-E" xfId="277"/>
    <cellStyle name="†_BQ-E_Bq-M-23 August 2004" xfId="278"/>
    <cellStyle name="†_BQ-elec-kiic4(D) " xfId="279"/>
    <cellStyle name="†_Bq-Form Mech ( Baru ) 05" xfId="280"/>
    <cellStyle name="†_BQ-Mech. Summitmas II" xfId="281"/>
    <cellStyle name="†_BQ-Moric-Elec (A)" xfId="282"/>
    <cellStyle name="†_BQ-SHIBAURA SHEARING" xfId="283"/>
    <cellStyle name="†_BQ-SHIBAURA SHEARING(Cancel)" xfId="284"/>
    <cellStyle name="†_BQ-YAMAHA FLAGSHIP-A" xfId="285"/>
    <cellStyle name="†_Expense" xfId="286"/>
    <cellStyle name="†_MAKER LIST" xfId="287"/>
    <cellStyle name="†_sex" xfId="288"/>
    <cellStyle name="†_sex_b1.57.1417.2004(B)" xfId="289"/>
    <cellStyle name="†_sex_b1.57.1417.2004(B)_Bq-M-23 August 2004" xfId="290"/>
    <cellStyle name="†_sex_Bq-M-23 August 2004" xfId="291"/>
    <cellStyle name="‡" xfId="292"/>
    <cellStyle name="‡ - Style1" xfId="293"/>
    <cellStyle name="‡_ALTERNATIF - I KBI (Kyoraku Blow molding)" xfId="294"/>
    <cellStyle name="‡_ANALISA HARGA Mekanikal Dklat" xfId="295"/>
    <cellStyle name="‡_AUTO2000" xfId="296"/>
    <cellStyle name="‡_AUTO2000_BQ &amp; An Pds Gdg - KIM I" xfId="297"/>
    <cellStyle name="‡_AUTO2000_BQ &amp; An Pondasi SEP &amp; WAREHOUSE-KIM I (R-0)" xfId="298"/>
    <cellStyle name="‡_AUTO2000_BQ Pabrik Biodiesel MM-Btm" xfId="299"/>
    <cellStyle name="‡_Blue sky Piping tie-in-Package-comb-R1" xfId="300"/>
    <cellStyle name="‡_Blue sky Piping tie-in-Package-comb-R1_BQ &amp; An Pds Gdg - KIM I" xfId="301"/>
    <cellStyle name="‡_Blue sky Piping tie-in-Package-comb-R1_BQ &amp; An Pondasi SEP &amp; WAREHOUSE-KIM I (R-0)" xfId="302"/>
    <cellStyle name="‡_Blue sky Piping tie-in-Package-comb-R1_BQ Pabrik Biodiesel MM-Btm" xfId="303"/>
    <cellStyle name="‡_BOOK1" xfId="304"/>
    <cellStyle name="‡_BOOK1 2" xfId="305"/>
    <cellStyle name="‡_BOOK1_ALTERNATIF - I KBI (Kyoraku Blow molding)" xfId="306"/>
    <cellStyle name="‡_BOOK1_ALTERNATIF - I KBI (Kyoraku Blow molding) 2" xfId="307"/>
    <cellStyle name="‡_BOOK1_ANALISA HARGA Mekanikal Dklat" xfId="308"/>
    <cellStyle name="‡_BOOK1_ANALISA HARGA Mekanikal Dklat 2" xfId="309"/>
    <cellStyle name="‡_BOOK1_BQ-E" xfId="310"/>
    <cellStyle name="‡_BOOK1_BQ-E 2" xfId="311"/>
    <cellStyle name="‡_BOOK1_BQ-elec-kiic4(D) " xfId="312"/>
    <cellStyle name="‡_BOOK1_BQ-elec-kiic4(D)  2" xfId="313"/>
    <cellStyle name="‡_BOOK1_Bq-Form Mech ( Baru ) 05" xfId="314"/>
    <cellStyle name="‡_BOOK1_Bq-Form Mech ( Baru ) 05 2" xfId="315"/>
    <cellStyle name="‡_BOOK1_Bq-M-23 August 2004" xfId="316"/>
    <cellStyle name="‡_BOOK1_Bq-M-23 August 2004 2" xfId="317"/>
    <cellStyle name="‡_BOOK1_BQ-Mech. Summitmas II" xfId="318"/>
    <cellStyle name="‡_BOOK1_BQ-Mech. Summitmas II 2" xfId="319"/>
    <cellStyle name="‡_BOOK1_BQ-Moric-Elec (A)" xfId="320"/>
    <cellStyle name="‡_BOOK1_BQ-Moric-Elec (A) 2" xfId="321"/>
    <cellStyle name="‡_BOOK1_BQ-SHIBAURA SHEARING" xfId="322"/>
    <cellStyle name="‡_BOOK1_BQ-SHIBAURA SHEARING 2" xfId="323"/>
    <cellStyle name="‡_BOOK1_BQ-SHIBAURA SHEARING(Cancel)" xfId="324"/>
    <cellStyle name="‡_BOOK1_BQ-SHIBAURA SHEARING(Cancel) 2" xfId="325"/>
    <cellStyle name="‡_BOOK1_BQ-YAMAHA FLAGSHIP-A" xfId="326"/>
    <cellStyle name="‡_BOOK1_BQ-YAMAHA FLAGSHIP-A 2" xfId="327"/>
    <cellStyle name="‡_BOOK1_Expense" xfId="328"/>
    <cellStyle name="‡_BOOK1_Expense 2" xfId="329"/>
    <cellStyle name="‡_BOOK1_MAKER LIST" xfId="330"/>
    <cellStyle name="‡_BOOK1_MAKER LIST 2" xfId="331"/>
    <cellStyle name="‡_BOOK1_sex" xfId="332"/>
    <cellStyle name="‡_BOOK1_sex 2" xfId="333"/>
    <cellStyle name="‡_BOOK1_sex_b1.57.1417.2004(B)" xfId="334"/>
    <cellStyle name="‡_BOOK1_sex_b1.57.1417.2004(B) 2" xfId="335"/>
    <cellStyle name="‡_BQ &amp; An Pds Gdg - KIM I" xfId="336"/>
    <cellStyle name="‡_BQ &amp; An Pondasi SEP &amp; WAREHOUSE-KIM I (R-0)" xfId="337"/>
    <cellStyle name="‡_BQ Pabrik Biodiesel MM-Btm" xfId="338"/>
    <cellStyle name="‡_BQ-E" xfId="339"/>
    <cellStyle name="‡_BQ-E_Bq-M-23 August 2004" xfId="340"/>
    <cellStyle name="‡_BQ-elec-kiic4(D) " xfId="341"/>
    <cellStyle name="‡_Bq-Form Mech ( Baru ) 05" xfId="342"/>
    <cellStyle name="‡_BQ-Mech. Summitmas II" xfId="343"/>
    <cellStyle name="‡_BQ-Moric-Elec (A)" xfId="344"/>
    <cellStyle name="‡_BQ-SHIBAURA SHEARING" xfId="345"/>
    <cellStyle name="‡_BQ-SHIBAURA SHEARING(Cancel)" xfId="346"/>
    <cellStyle name="‡_BQ-YAMAHA FLAGSHIP-A" xfId="347"/>
    <cellStyle name="‡_C4X" xfId="348"/>
    <cellStyle name="‡_C4X_AUTO2000" xfId="349"/>
    <cellStyle name="‡_C4X_AUTO2000_BQ &amp; An Pds Gdg - KIM I" xfId="350"/>
    <cellStyle name="‡_C4X_AUTO2000_BQ &amp; An Pondasi SEP &amp; WAREHOUSE-KIM I (R-0)" xfId="351"/>
    <cellStyle name="‡_C4X_AUTO2000_BQ Pabrik Biodiesel MM-Btm" xfId="352"/>
    <cellStyle name="‡_C4X_BQ &amp; An Pds Gdg - KIM I" xfId="353"/>
    <cellStyle name="‡_C4X_BQ &amp; An Pondasi SEP &amp; WAREHOUSE-KIM I (R-0)" xfId="354"/>
    <cellStyle name="‡_C4X_BQ Pabrik Biodiesel MM-Btm" xfId="355"/>
    <cellStyle name="‡_C4X_Cost Piping AG Install" xfId="356"/>
    <cellStyle name="‡_C4X_Cost Piping AG Install_BQ &amp; An Pds Gdg - KIM I" xfId="357"/>
    <cellStyle name="‡_C4X_Cost Piping AG Install_BQ &amp; An Pondasi SEP &amp; WAREHOUSE-KIM I (R-0)" xfId="358"/>
    <cellStyle name="‡_C4X_Cost Piping AG Install_BQ Pabrik Biodiesel MM-Btm" xfId="359"/>
    <cellStyle name="‡_C4X_Cost Piping PIM2revf" xfId="360"/>
    <cellStyle name="‡_C4X_Cost Piping PIM2revf_BQ &amp; An Pds Gdg - KIM I" xfId="361"/>
    <cellStyle name="‡_C4X_Cost Piping PIM2revf_BQ &amp; An Pondasi SEP &amp; WAREHOUSE-KIM I (R-0)" xfId="362"/>
    <cellStyle name="‡_C4X_Cost Piping PIM2revf_BQ Pabrik Biodiesel MM-Btm" xfId="363"/>
    <cellStyle name="‡_C4X_Granulation Rev1 Costdirect Pim2" xfId="364"/>
    <cellStyle name="‡_C4X_Granulation Rev1 Costdirect Pim2_BQ &amp; An Pds Gdg - KIM I" xfId="365"/>
    <cellStyle name="‡_C4X_Granulation Rev1 Costdirect Pim2_BQ &amp; An Pondasi SEP &amp; WAREHOUSE-KIM I (R-0)" xfId="366"/>
    <cellStyle name="‡_C4X_Granulation Rev1 Costdirect Pim2_BQ Pabrik Biodiesel MM-Btm" xfId="367"/>
    <cellStyle name="‡_C4X_price toolrev1" xfId="368"/>
    <cellStyle name="‡_C4X_price toolrev1_BQ &amp; An Pds Gdg - KIM I" xfId="369"/>
    <cellStyle name="‡_C4X_price toolrev1_BQ &amp; An Pondasi SEP &amp; WAREHOUSE-KIM I (R-0)" xfId="370"/>
    <cellStyle name="‡_C4X_price toolrev1_BQ Pabrik Biodiesel MM-Btm" xfId="371"/>
    <cellStyle name="‡_C4X_std" xfId="372"/>
    <cellStyle name="‡_C4X_std_BQ &amp; An Pds Gdg - KIM I" xfId="373"/>
    <cellStyle name="‡_C4X_std_BQ &amp; An Pondasi SEP &amp; WAREHOUSE-KIM I (R-0)" xfId="374"/>
    <cellStyle name="‡_C4X_std_BQ Pabrik Biodiesel MM-Btm" xfId="375"/>
    <cellStyle name="‡_C4X_Tie-in-Budget-1" xfId="376"/>
    <cellStyle name="‡_C4X_Tie-in-Budget-1_BQ &amp; An Pds Gdg - KIM I" xfId="377"/>
    <cellStyle name="‡_C4X_Tie-in-Budget-1_BQ &amp; An Pondasi SEP &amp; WAREHOUSE-KIM I (R-0)" xfId="378"/>
    <cellStyle name="‡_C4X_Tie-in-Budget-1_BQ Pabrik Biodiesel MM-Btm" xfId="379"/>
    <cellStyle name="‡_Construction Piping Cost-28-03-2001" xfId="380"/>
    <cellStyle name="‡_Construction Piping Cost-28-03-2001_BQ &amp; An Pds Gdg - KIM I" xfId="381"/>
    <cellStyle name="‡_Construction Piping Cost-28-03-2001_BQ &amp; An Pondasi SEP &amp; WAREHOUSE-KIM I (R-0)" xfId="382"/>
    <cellStyle name="‡_Construction Piping Cost-28-03-2001_BQ Pabrik Biodiesel MM-Btm" xfId="383"/>
    <cellStyle name="‡_Cost Breakdown" xfId="384"/>
    <cellStyle name="‡_Cost Breakdown WO 321105" xfId="385"/>
    <cellStyle name="‡_Cost Breakdown WO 321105_BQ &amp; An Pds Gdg - KIM I" xfId="386"/>
    <cellStyle name="‡_Cost Breakdown WO 321105_BQ &amp; An Pondasi SEP &amp; WAREHOUSE-KIM I (R-0)" xfId="387"/>
    <cellStyle name="‡_Cost Breakdown WO 321105_BQ Pabrik Biodiesel MM-Btm" xfId="388"/>
    <cellStyle name="‡_Cost Breakdown_BQ &amp; An Pds Gdg - KIM I" xfId="389"/>
    <cellStyle name="‡_Cost Breakdown_BQ &amp; An Pondasi SEP &amp; WAREHOUSE-KIM I (R-0)" xfId="390"/>
    <cellStyle name="‡_Cost Breakdown_BQ Pabrik Biodiesel MM-Btm" xfId="391"/>
    <cellStyle name="‡_Cost Breakdown-REV2" xfId="392"/>
    <cellStyle name="‡_Cost Breakdown-REV2_BQ &amp; An Pds Gdg - KIM I" xfId="393"/>
    <cellStyle name="‡_Cost Breakdown-REV2_BQ &amp; An Pondasi SEP &amp; WAREHOUSE-KIM I (R-0)" xfId="394"/>
    <cellStyle name="‡_Cost Breakdown-REV2_BQ Pabrik Biodiesel MM-Btm" xfId="395"/>
    <cellStyle name="‡_Cost Piping" xfId="396"/>
    <cellStyle name="‡_Cost Piping_BQ &amp; An Pds Gdg - KIM I" xfId="397"/>
    <cellStyle name="‡_Cost Piping_BQ &amp; An Pondasi SEP &amp; WAREHOUSE-KIM I (R-0)" xfId="398"/>
    <cellStyle name="‡_Cost Piping_BQ Pabrik Biodiesel MM-Btm" xfId="399"/>
    <cellStyle name="‡_data tie-n balongan" xfId="400"/>
    <cellStyle name="‡_data tie-n balongan_BQ &amp; An Pds Gdg - KIM I" xfId="401"/>
    <cellStyle name="‡_data tie-n balongan_BQ &amp; An Pondasi SEP &amp; WAREHOUSE-KIM I (R-0)" xfId="402"/>
    <cellStyle name="‡_data tie-n balongan_BQ Pabrik Biodiesel MM-Btm" xfId="403"/>
    <cellStyle name="‡_Erection Steel Structure &amp; Mechanical-4" xfId="404"/>
    <cellStyle name="‡_Erection Steel Structure &amp; Mechanical-4_BQ &amp; An Pds Gdg - KIM I" xfId="405"/>
    <cellStyle name="‡_Erection Steel Structure &amp; Mechanical-4_BQ &amp; An Pondasi SEP &amp; WAREHOUSE-KIM I (R-0)" xfId="406"/>
    <cellStyle name="‡_Erection Steel Structure &amp; Mechanical-4_BQ Pabrik Biodiesel MM-Btm" xfId="407"/>
    <cellStyle name="‡_Expense" xfId="408"/>
    <cellStyle name="‡_F5" xfId="409"/>
    <cellStyle name="‡_F5_BQ Pabrik Biodiesel MM-Btm" xfId="410"/>
    <cellStyle name="‡_F6" xfId="411"/>
    <cellStyle name="‡_F6_BQ Pabrik Biodiesel MM-Btm" xfId="412"/>
    <cellStyle name="‡_Form-Reka-UG Pipe CO2 Removal" xfId="413"/>
    <cellStyle name="‡_Form-Reka-UG Pipe CO2 Removal_BQ &amp; An Pds Gdg - KIM I" xfId="414"/>
    <cellStyle name="‡_Form-Reka-UG Pipe CO2 Removal_BQ &amp; An Pondasi SEP &amp; WAREHOUSE-KIM I (R-0)" xfId="415"/>
    <cellStyle name="‡_Form-Reka-UG Pipe CO2 Removal_BQ Pabrik Biodiesel MM-Btm" xfId="416"/>
    <cellStyle name="‡_Indirect Cost-LIRIK" xfId="417"/>
    <cellStyle name="‡_Indirect Cost-LIRIK_BQ &amp; An Pds Gdg - KIM I" xfId="418"/>
    <cellStyle name="‡_Indirect Cost-LIRIK_BQ &amp; An Pondasi SEP &amp; WAREHOUSE-KIM I (R-0)" xfId="419"/>
    <cellStyle name="‡_Indirect Cost-LIRIK_BQ Pabrik Biodiesel MM-Btm" xfId="420"/>
    <cellStyle name="‡_MAKER LIST" xfId="421"/>
    <cellStyle name="‡_Managerevdir2" xfId="422"/>
    <cellStyle name="‡_Managerevdir2_AUTO2000" xfId="423"/>
    <cellStyle name="‡_Managerevdir2_AUTO2000_BQ &amp; An Pds Gdg - KIM I" xfId="424"/>
    <cellStyle name="‡_Managerevdir2_AUTO2000_BQ &amp; An Pondasi SEP &amp; WAREHOUSE-KIM I (R-0)" xfId="425"/>
    <cellStyle name="‡_Managerevdir2_AUTO2000_BQ Pabrik Biodiesel MM-Btm" xfId="426"/>
    <cellStyle name="‡_Managerevdir2_BQ &amp; An Pds Gdg - KIM I" xfId="427"/>
    <cellStyle name="‡_Managerevdir2_BQ &amp; An Pondasi SEP &amp; WAREHOUSE-KIM I (R-0)" xfId="428"/>
    <cellStyle name="‡_Managerevdir2_BQ Pabrik Biodiesel MM-Btm" xfId="429"/>
    <cellStyle name="‡_Managerevdir2_Cost Piping AG Install" xfId="430"/>
    <cellStyle name="‡_Managerevdir2_Cost Piping AG Install_BQ &amp; An Pds Gdg - KIM I" xfId="431"/>
    <cellStyle name="‡_Managerevdir2_Cost Piping AG Install_BQ &amp; An Pondasi SEP &amp; WAREHOUSE-KIM I (R-0)" xfId="432"/>
    <cellStyle name="‡_Managerevdir2_Cost Piping AG Install_BQ Pabrik Biodiesel MM-Btm" xfId="433"/>
    <cellStyle name="‡_Managerevdir2_Cost Piping PIM2revf" xfId="434"/>
    <cellStyle name="‡_Managerevdir2_Cost Piping PIM2revf_BQ &amp; An Pds Gdg - KIM I" xfId="435"/>
    <cellStyle name="‡_Managerevdir2_Cost Piping PIM2revf_BQ &amp; An Pondasi SEP &amp; WAREHOUSE-KIM I (R-0)" xfId="436"/>
    <cellStyle name="‡_Managerevdir2_Cost Piping PIM2revf_BQ Pabrik Biodiesel MM-Btm" xfId="437"/>
    <cellStyle name="‡_Managerevdir2_Granulation Rev1 Costdirect Pim2" xfId="438"/>
    <cellStyle name="‡_Managerevdir2_Granulation Rev1 Costdirect Pim2_BQ &amp; An Pds Gdg - KIM I" xfId="439"/>
    <cellStyle name="‡_Managerevdir2_Granulation Rev1 Costdirect Pim2_BQ &amp; An Pondasi SEP &amp; WAREHOUSE-KIM I (R-0)" xfId="440"/>
    <cellStyle name="‡_Managerevdir2_Granulation Rev1 Costdirect Pim2_BQ Pabrik Biodiesel MM-Btm" xfId="441"/>
    <cellStyle name="‡_Managerevdir2_price toolrev1" xfId="442"/>
    <cellStyle name="‡_Managerevdir2_price toolrev1_BQ &amp; An Pds Gdg - KIM I" xfId="443"/>
    <cellStyle name="‡_Managerevdir2_price toolrev1_BQ &amp; An Pondasi SEP &amp; WAREHOUSE-KIM I (R-0)" xfId="444"/>
    <cellStyle name="‡_Managerevdir2_price toolrev1_BQ Pabrik Biodiesel MM-Btm" xfId="445"/>
    <cellStyle name="‡_Managerevdir2_std" xfId="446"/>
    <cellStyle name="‡_Managerevdir2_std_BQ &amp; An Pds Gdg - KIM I" xfId="447"/>
    <cellStyle name="‡_Managerevdir2_std_BQ &amp; An Pondasi SEP &amp; WAREHOUSE-KIM I (R-0)" xfId="448"/>
    <cellStyle name="‡_Managerevdir2_std_BQ Pabrik Biodiesel MM-Btm" xfId="449"/>
    <cellStyle name="‡_Managerevdir2_Tie-in-Budget-1" xfId="450"/>
    <cellStyle name="‡_Managerevdir2_Tie-in-Budget-1_BQ &amp; An Pds Gdg - KIM I" xfId="451"/>
    <cellStyle name="‡_Managerevdir2_Tie-in-Budget-1_BQ &amp; An Pondasi SEP &amp; WAREHOUSE-KIM I (R-0)" xfId="452"/>
    <cellStyle name="‡_Managerevdir2_Tie-in-Budget-1_BQ Pabrik Biodiesel MM-Btm" xfId="453"/>
    <cellStyle name="‡_me-AAF-COMBINED" xfId="454"/>
    <cellStyle name="‡_me-AAF-COMBINED_AUTO2000" xfId="455"/>
    <cellStyle name="‡_me-AAF-COMBINED_AUTO2000_BQ &amp; An Pds Gdg - KIM I" xfId="456"/>
    <cellStyle name="‡_me-AAF-COMBINED_AUTO2000_BQ &amp; An Pondasi SEP &amp; WAREHOUSE-KIM I (R-0)" xfId="457"/>
    <cellStyle name="‡_me-AAF-COMBINED_AUTO2000_BQ Pabrik Biodiesel MM-Btm" xfId="458"/>
    <cellStyle name="‡_me-AAF-COMBINED_BQ &amp; An Pds Gdg - KIM I" xfId="459"/>
    <cellStyle name="‡_me-AAF-COMBINED_BQ &amp; An Pondasi SEP &amp; WAREHOUSE-KIM I (R-0)" xfId="460"/>
    <cellStyle name="‡_me-AAF-COMBINED_BQ Pabrik Biodiesel MM-Btm" xfId="461"/>
    <cellStyle name="‡_Mekanikal Indobharat-3" xfId="462"/>
    <cellStyle name="‡_Mekanikal Indobharat-3_BQ &amp; An Pds Gdg - KIM I" xfId="463"/>
    <cellStyle name="‡_Mekanikal Indobharat-3_BQ &amp; An Pondasi SEP &amp; WAREHOUSE-KIM I (R-0)" xfId="464"/>
    <cellStyle name="‡_Mekanikal Indobharat-3_BQ Pabrik Biodiesel MM-Btm" xfId="465"/>
    <cellStyle name="‡_PEB Blue sky Piping tie-in-Package-1" xfId="466"/>
    <cellStyle name="‡_PEB Blue sky Piping tie-in-Package-1_BQ &amp; An Pds Gdg - KIM I" xfId="467"/>
    <cellStyle name="‡_PEB Blue sky Piping tie-in-Package-1_BQ &amp; An Pondasi SEP &amp; WAREHOUSE-KIM I (R-0)" xfId="468"/>
    <cellStyle name="‡_PEB Blue sky Piping tie-in-Package-1_BQ Pabrik Biodiesel MM-Btm" xfId="469"/>
    <cellStyle name="‡_Piping" xfId="470"/>
    <cellStyle name="‡_Piping &amp; Mechanical" xfId="471"/>
    <cellStyle name="‡_Piping &amp; Mechanical_BQ &amp; An Pds Gdg - KIM I" xfId="472"/>
    <cellStyle name="‡_Piping &amp; Mechanical_BQ &amp; An Pondasi SEP &amp; WAREHOUSE-KIM I (R-0)" xfId="473"/>
    <cellStyle name="‡_Piping &amp; Mechanical_BQ Pabrik Biodiesel MM-Btm" xfId="474"/>
    <cellStyle name="‡_Piping_AUTO2000" xfId="475"/>
    <cellStyle name="‡_Piping_AUTO2000_BQ &amp; An Pds Gdg - KIM I" xfId="476"/>
    <cellStyle name="‡_Piping_AUTO2000_BQ &amp; An Pondasi SEP &amp; WAREHOUSE-KIM I (R-0)" xfId="477"/>
    <cellStyle name="‡_Piping_AUTO2000_BQ Pabrik Biodiesel MM-Btm" xfId="478"/>
    <cellStyle name="‡_Piping_BQ &amp; An Pds Gdg - KIM I" xfId="479"/>
    <cellStyle name="‡_Piping_BQ &amp; An Pondasi SEP &amp; WAREHOUSE-KIM I (R-0)" xfId="480"/>
    <cellStyle name="‡_Piping_BQ Pabrik Biodiesel MM-Btm" xfId="481"/>
    <cellStyle name="‡_Piping_Cost Piping AG Install" xfId="482"/>
    <cellStyle name="‡_Piping_Cost Piping AG Install_BQ &amp; An Pds Gdg - KIM I" xfId="483"/>
    <cellStyle name="‡_Piping_Cost Piping AG Install_BQ &amp; An Pondasi SEP &amp; WAREHOUSE-KIM I (R-0)" xfId="484"/>
    <cellStyle name="‡_Piping_Cost Piping AG Install_BQ Pabrik Biodiesel MM-Btm" xfId="485"/>
    <cellStyle name="‡_Piping_Cost Piping PIM2revf" xfId="486"/>
    <cellStyle name="‡_Piping_Cost Piping PIM2revf_BQ &amp; An Pds Gdg - KIM I" xfId="487"/>
    <cellStyle name="‡_Piping_Cost Piping PIM2revf_BQ &amp; An Pondasi SEP &amp; WAREHOUSE-KIM I (R-0)" xfId="488"/>
    <cellStyle name="‡_Piping_Cost Piping PIM2revf_BQ Pabrik Biodiesel MM-Btm" xfId="489"/>
    <cellStyle name="‡_Piping_Granulation Rev1 Costdirect Pim2" xfId="490"/>
    <cellStyle name="‡_Piping_Granulation Rev1 Costdirect Pim2_BQ &amp; An Pds Gdg - KIM I" xfId="491"/>
    <cellStyle name="‡_Piping_Granulation Rev1 Costdirect Pim2_BQ &amp; An Pondasi SEP &amp; WAREHOUSE-KIM I (R-0)" xfId="492"/>
    <cellStyle name="‡_Piping_Granulation Rev1 Costdirect Pim2_BQ Pabrik Biodiesel MM-Btm" xfId="493"/>
    <cellStyle name="‡_Piping_price toolrev1" xfId="494"/>
    <cellStyle name="‡_Piping_price toolrev1_BQ &amp; An Pds Gdg - KIM I" xfId="495"/>
    <cellStyle name="‡_Piping_price toolrev1_BQ &amp; An Pondasi SEP &amp; WAREHOUSE-KIM I (R-0)" xfId="496"/>
    <cellStyle name="‡_Piping_price toolrev1_BQ Pabrik Biodiesel MM-Btm" xfId="497"/>
    <cellStyle name="‡_Piping_std" xfId="498"/>
    <cellStyle name="‡_Piping_std_BQ &amp; An Pds Gdg - KIM I" xfId="499"/>
    <cellStyle name="‡_Piping_std_BQ &amp; An Pondasi SEP &amp; WAREHOUSE-KIM I (R-0)" xfId="500"/>
    <cellStyle name="‡_Piping_std_BQ Pabrik Biodiesel MM-Btm" xfId="501"/>
    <cellStyle name="‡_Piping_Tie-in-Budget-1" xfId="502"/>
    <cellStyle name="‡_Piping_Tie-in-Budget-1_BQ &amp; An Pds Gdg - KIM I" xfId="503"/>
    <cellStyle name="‡_Piping_Tie-in-Budget-1_BQ &amp; An Pondasi SEP &amp; WAREHOUSE-KIM I (R-0)" xfId="504"/>
    <cellStyle name="‡_Piping_Tie-in-Budget-1_BQ Pabrik Biodiesel MM-Btm" xfId="505"/>
    <cellStyle name="‡_Piping-CostCO2" xfId="506"/>
    <cellStyle name="‡_Piping-CostCO2_AUTO2000" xfId="507"/>
    <cellStyle name="‡_Piping-CostCO2_AUTO2000_BQ &amp; An Pds Gdg - KIM I" xfId="508"/>
    <cellStyle name="‡_Piping-CostCO2_AUTO2000_BQ &amp; An Pondasi SEP &amp; WAREHOUSE-KIM I (R-0)" xfId="509"/>
    <cellStyle name="‡_Piping-CostCO2_AUTO2000_BQ Pabrik Biodiesel MM-Btm" xfId="510"/>
    <cellStyle name="‡_Piping-CostCO2_BQ &amp; An Pds Gdg - KIM I" xfId="511"/>
    <cellStyle name="‡_Piping-CostCO2_BQ &amp; An Pondasi SEP &amp; WAREHOUSE-KIM I (R-0)" xfId="512"/>
    <cellStyle name="‡_Piping-CostCO2_BQ Pabrik Biodiesel MM-Btm" xfId="513"/>
    <cellStyle name="‡_Piping-Costrev2" xfId="514"/>
    <cellStyle name="‡_Piping-Costrev2_AUTO2000" xfId="515"/>
    <cellStyle name="‡_Piping-Costrev2_AUTO2000_BQ &amp; An Pds Gdg - KIM I" xfId="516"/>
    <cellStyle name="‡_Piping-Costrev2_AUTO2000_BQ &amp; An Pondasi SEP &amp; WAREHOUSE-KIM I (R-0)" xfId="517"/>
    <cellStyle name="‡_Piping-Costrev2_AUTO2000_BQ Pabrik Biodiesel MM-Btm" xfId="518"/>
    <cellStyle name="‡_Piping-Costrev2_BQ &amp; An Pds Gdg - KIM I" xfId="519"/>
    <cellStyle name="‡_Piping-Costrev2_BQ &amp; An Pondasi SEP &amp; WAREHOUSE-KIM I (R-0)" xfId="520"/>
    <cellStyle name="‡_Piping-Costrev2_BQ Pabrik Biodiesel MM-Btm" xfId="521"/>
    <cellStyle name="‡_PLDT" xfId="522"/>
    <cellStyle name="‡_PLDT_ALTERNATIF - I KBI (Kyoraku Blow molding)" xfId="523"/>
    <cellStyle name="‡_PLDT_ANALISA HARGA Mekanikal Dklat" xfId="524"/>
    <cellStyle name="‡_PLDT_BQ-E" xfId="525"/>
    <cellStyle name="‡_PLDT_BQ-E_Bq-M-23 August 2004" xfId="526"/>
    <cellStyle name="‡_PLDT_BQ-elec-kiic4(D) " xfId="527"/>
    <cellStyle name="‡_PLDT_Bq-Form Mech ( Baru ) 05" xfId="528"/>
    <cellStyle name="‡_PLDT_BQ-Mech. Summitmas II" xfId="529"/>
    <cellStyle name="‡_PLDT_BQ-Moric-Elec (A)" xfId="530"/>
    <cellStyle name="‡_PLDT_BQ-SHIBAURA SHEARING" xfId="531"/>
    <cellStyle name="‡_PLDT_BQ-SHIBAURA SHEARING(Cancel)" xfId="532"/>
    <cellStyle name="‡_PLDT_BQ-YAMAHA FLAGSHIP-A" xfId="533"/>
    <cellStyle name="‡_PLDT_Expense" xfId="534"/>
    <cellStyle name="‡_PLDT_MAKER LIST" xfId="535"/>
    <cellStyle name="‡_PLDT_sex" xfId="536"/>
    <cellStyle name="‡_PLDT_sex_b1.57.1417.2004(B)" xfId="537"/>
    <cellStyle name="‡_PLDT_sex_b1.57.1417.2004(B)_Bq-M-23 August 2004" xfId="538"/>
    <cellStyle name="‡_PLDT_sex_Bq-M-23 August 2004" xfId="539"/>
    <cellStyle name="‡_sex" xfId="540"/>
    <cellStyle name="‡_sex_b1.57.1417.2004(B)" xfId="541"/>
    <cellStyle name="‡_sex_b1.57.1417.2004(B)_Bq-M-23 August 2004" xfId="542"/>
    <cellStyle name="‡_sex_Bq-M-23 August 2004" xfId="543"/>
    <cellStyle name="‡_STA-DRP" xfId="544"/>
    <cellStyle name="‡_STA-DRP_ALTERNATIF - I KBI (Kyoraku Blow molding)" xfId="545"/>
    <cellStyle name="‡_STA-DRP_ANALISA HARGA Mekanikal Dklat" xfId="546"/>
    <cellStyle name="‡_STA-DRP_BOOK1" xfId="547"/>
    <cellStyle name="‡_STA-DRP_BOOK1 2" xfId="548"/>
    <cellStyle name="‡_STA-DRP_BOOK1_ALTERNATIF - I KBI (Kyoraku Blow molding)" xfId="549"/>
    <cellStyle name="‡_STA-DRP_BOOK1_ALTERNATIF - I KBI (Kyoraku Blow molding) 2" xfId="550"/>
    <cellStyle name="‡_STA-DRP_BOOK1_ANALISA HARGA Mekanikal Dklat" xfId="551"/>
    <cellStyle name="‡_STA-DRP_BOOK1_ANALISA HARGA Mekanikal Dklat 2" xfId="552"/>
    <cellStyle name="‡_STA-DRP_BOOK1_BQ-E" xfId="553"/>
    <cellStyle name="‡_STA-DRP_BOOK1_BQ-E 2" xfId="554"/>
    <cellStyle name="‡_STA-DRP_BOOK1_BQ-elec-kiic4(D) " xfId="555"/>
    <cellStyle name="‡_STA-DRP_BOOK1_BQ-elec-kiic4(D)  2" xfId="556"/>
    <cellStyle name="‡_STA-DRP_BOOK1_Bq-Form Mech ( Baru ) 05" xfId="557"/>
    <cellStyle name="‡_STA-DRP_BOOK1_Bq-Form Mech ( Baru ) 05 2" xfId="558"/>
    <cellStyle name="‡_STA-DRP_BOOK1_Bq-M-23 August 2004" xfId="559"/>
    <cellStyle name="‡_STA-DRP_BOOK1_Bq-M-23 August 2004 2" xfId="560"/>
    <cellStyle name="‡_STA-DRP_BOOK1_BQ-Mech. Summitmas II" xfId="561"/>
    <cellStyle name="‡_STA-DRP_BOOK1_BQ-Mech. Summitmas II 2" xfId="562"/>
    <cellStyle name="‡_STA-DRP_BOOK1_BQ-Moric-Elec (A)" xfId="563"/>
    <cellStyle name="‡_STA-DRP_BOOK1_BQ-Moric-Elec (A) 2" xfId="564"/>
    <cellStyle name="‡_STA-DRP_BOOK1_BQ-SHIBAURA SHEARING" xfId="565"/>
    <cellStyle name="‡_STA-DRP_BOOK1_BQ-SHIBAURA SHEARING 2" xfId="566"/>
    <cellStyle name="‡_STA-DRP_BOOK1_BQ-SHIBAURA SHEARING(Cancel)" xfId="567"/>
    <cellStyle name="‡_STA-DRP_BOOK1_BQ-SHIBAURA SHEARING(Cancel) 2" xfId="568"/>
    <cellStyle name="‡_STA-DRP_BOOK1_BQ-YAMAHA FLAGSHIP-A" xfId="569"/>
    <cellStyle name="‡_STA-DRP_BOOK1_BQ-YAMAHA FLAGSHIP-A 2" xfId="570"/>
    <cellStyle name="‡_STA-DRP_BOOK1_Expense" xfId="571"/>
    <cellStyle name="‡_STA-DRP_BOOK1_Expense 2" xfId="572"/>
    <cellStyle name="‡_STA-DRP_BOOK1_MAKER LIST" xfId="573"/>
    <cellStyle name="‡_STA-DRP_BOOK1_MAKER LIST 2" xfId="574"/>
    <cellStyle name="‡_STA-DRP_BOOK1_sex" xfId="575"/>
    <cellStyle name="‡_STA-DRP_BOOK1_sex 2" xfId="576"/>
    <cellStyle name="‡_STA-DRP_BOOK1_sex_b1.57.1417.2004(B)" xfId="577"/>
    <cellStyle name="‡_STA-DRP_BOOK1_sex_b1.57.1417.2004(B) 2" xfId="578"/>
    <cellStyle name="‡_STA-DRP_BQ &amp; An Pds Gdg - KIM I" xfId="579"/>
    <cellStyle name="‡_STA-DRP_BQ &amp; An Pondasi SEP &amp; WAREHOUSE-KIM I (R-0)" xfId="580"/>
    <cellStyle name="‡_STA-DRP_BQ Pabrik Biodiesel MM-Btm" xfId="581"/>
    <cellStyle name="‡_STA-DRP_BQ-E" xfId="582"/>
    <cellStyle name="‡_STA-DRP_BQ-E_Bq-M-23 August 2004" xfId="583"/>
    <cellStyle name="‡_STA-DRP_BQ-elec-kiic4(D) " xfId="584"/>
    <cellStyle name="‡_STA-DRP_Bq-Form Mech ( Baru ) 05" xfId="585"/>
    <cellStyle name="‡_STA-DRP_BQ-Mech. Summitmas II" xfId="586"/>
    <cellStyle name="‡_STA-DRP_BQ-Moric-Elec (A)" xfId="587"/>
    <cellStyle name="‡_STA-DRP_BQ-SHIBAURA SHEARING" xfId="588"/>
    <cellStyle name="‡_STA-DRP_BQ-SHIBAURA SHEARING(Cancel)" xfId="589"/>
    <cellStyle name="‡_STA-DRP_BQ-YAMAHA FLAGSHIP-A" xfId="590"/>
    <cellStyle name="‡_STA-DRP_Expense" xfId="591"/>
    <cellStyle name="‡_STA-DRP_MAKER LIST" xfId="592"/>
    <cellStyle name="‡_STA-DRP_sex" xfId="593"/>
    <cellStyle name="‡_STA-DRP_sex_b1.57.1417.2004(B)" xfId="594"/>
    <cellStyle name="‡_STA-DRP_sex_b1.57.1417.2004(B)_Bq-M-23 August 2004" xfId="595"/>
    <cellStyle name="‡_STA-DRP_sex_Bq-M-23 August 2004" xfId="596"/>
    <cellStyle name="‡_Subang Piping" xfId="597"/>
    <cellStyle name="‡_Subang Piping_BQ &amp; An Pds Gdg - KIM I" xfId="598"/>
    <cellStyle name="‡_Subang Piping_BQ &amp; An Pondasi SEP &amp; WAREHOUSE-KIM I (R-0)" xfId="599"/>
    <cellStyle name="‡_Subang Piping_BQ Pabrik Biodiesel MM-Btm" xfId="600"/>
    <cellStyle name="‡_tool&amp;consum-2003" xfId="601"/>
    <cellStyle name="‡_tool&amp;consum-2003_BQ &amp; An Pds Gdg - KIM I" xfId="602"/>
    <cellStyle name="‡_tool&amp;consum-2003_BQ &amp; An Pondasi SEP &amp; WAREHOUSE-KIM I (R-0)" xfId="603"/>
    <cellStyle name="‡_tool&amp;consum-2003_BQ Pabrik Biodiesel MM-Btm" xfId="604"/>
    <cellStyle name="•\¦Ï‚Ý‚ÌƒnƒCƒp[ƒŠƒ“ƒN" xfId="605"/>
    <cellStyle name="•\Z¦Ï‚Ý‚ÌƒnƒCƒp[ƒŠƒ“ƒN" xfId="606"/>
    <cellStyle name="•\Ž¦Ï‚Ý‚ÌƒnƒCƒp[ƒŠƒ“ƒN" xfId="607"/>
    <cellStyle name="•W?_‹Zp‹Æ–±" xfId="608"/>
    <cellStyle name="•W€_’¼ÚHŽ–’P‰¿”äŠr•\RFP-003" xfId="609"/>
    <cellStyle name="•W_\‘¢”äŠr" xfId="610"/>
    <cellStyle name="" xfId="611"/>
    <cellStyle name="" xfId="612"/>
    <cellStyle name="_ALTERNATIF - I KBI (Kyoraku Blow molding)" xfId="613"/>
    <cellStyle name="_ALTERNATIF - I KBI (Kyoraku Blow molding)" xfId="614"/>
    <cellStyle name="_ANALISA HARGA Mekanikal Dklat" xfId="615"/>
    <cellStyle name="_ANALISA HARGA Mekanikal Dklat" xfId="616"/>
    <cellStyle name="_BQ-E" xfId="617"/>
    <cellStyle name="_BQ-E" xfId="618"/>
    <cellStyle name="_BQ-E_Bq-M-23 August 2004" xfId="619"/>
    <cellStyle name="_BQ-E_Bq-M-23 August 2004" xfId="620"/>
    <cellStyle name="_BQ-elec-kiic4(D) " xfId="621"/>
    <cellStyle name="_BQ-elec-kiic4(D) " xfId="622"/>
    <cellStyle name="_Bq-Form Mech ( Baru ) 05" xfId="623"/>
    <cellStyle name="_Bq-Form Mech ( Baru ) 05" xfId="624"/>
    <cellStyle name="_BQ-Mech. Summitmas II" xfId="625"/>
    <cellStyle name="_BQ-Mech. Summitmas II" xfId="626"/>
    <cellStyle name="_BQ-Moric-Elec (A)" xfId="627"/>
    <cellStyle name="_BQ-Moric-Elec (A)" xfId="628"/>
    <cellStyle name="_BQ-SHIBAURA SHEARING" xfId="629"/>
    <cellStyle name="_BQ-SHIBAURA SHEARING" xfId="630"/>
    <cellStyle name="_BQ-SHIBAURA SHEARING(Cancel)" xfId="631"/>
    <cellStyle name="_BQ-SHIBAURA SHEARING(Cancel)" xfId="632"/>
    <cellStyle name="_BQ-YAMAHA FLAGSHIP-A" xfId="633"/>
    <cellStyle name="_BQ-YAMAHA FLAGSHIP-A" xfId="634"/>
    <cellStyle name="_Expense" xfId="635"/>
    <cellStyle name="_Expense" xfId="636"/>
    <cellStyle name="_MAKER LIST" xfId="637"/>
    <cellStyle name="_MAKER LIST" xfId="638"/>
    <cellStyle name="_sex" xfId="639"/>
    <cellStyle name="_sex" xfId="640"/>
    <cellStyle name="_sex_b1.57.1417.2004(B)" xfId="641"/>
    <cellStyle name="_sex_b1.57.1417.2004(B)" xfId="642"/>
    <cellStyle name="_sex_b1.57.1417.2004(B)_Bq-M-23 August 2004" xfId="643"/>
    <cellStyle name="_sex_b1.57.1417.2004(B)_Bq-M-23 August 2004" xfId="644"/>
    <cellStyle name="_sex_Bq-M-23 August 2004" xfId="645"/>
    <cellStyle name="_sex_Bq-M-23 August 2004" xfId="646"/>
    <cellStyle name="¢è`" xfId="647"/>
    <cellStyle name="æØè [0.00]_¥AÆ\ÆÚ" xfId="648"/>
    <cellStyle name="æØè_¥AÆ\ÆÚ" xfId="649"/>
    <cellStyle name="ÊÝ [0.00]_¥AÆ\ÆÚ" xfId="650"/>
    <cellStyle name="ÊÝ_¥AÆ\ÆÚ" xfId="651"/>
    <cellStyle name="ñ\¦" xfId="652"/>
    <cellStyle name="W_¯æ\" xfId="653"/>
    <cellStyle name="0,0_x000d__x000a_NA_x000d__x000a_" xfId="654"/>
    <cellStyle name="¹éºÐÀ²_±âÅ¸" xfId="655"/>
    <cellStyle name="20% - Accent1 2" xfId="656"/>
    <cellStyle name="20% - Accent1 2 2" xfId="657"/>
    <cellStyle name="20% - Accent2 2" xfId="658"/>
    <cellStyle name="20% - Accent2 2 2" xfId="659"/>
    <cellStyle name="20% - Accent3 2" xfId="660"/>
    <cellStyle name="20% - Accent3 2 2" xfId="661"/>
    <cellStyle name="20% - Accent4 2" xfId="662"/>
    <cellStyle name="20% - Accent4 2 2" xfId="663"/>
    <cellStyle name="20% - Accent5 2" xfId="664"/>
    <cellStyle name="20% - Accent5 2 2" xfId="665"/>
    <cellStyle name="20% - Accent6 2" xfId="666"/>
    <cellStyle name="20% - Accent6 2 2" xfId="667"/>
    <cellStyle name="4" xfId="668"/>
    <cellStyle name="40% - Accent1 2" xfId="669"/>
    <cellStyle name="40% - Accent1 2 2" xfId="670"/>
    <cellStyle name="40% - Accent2 2" xfId="671"/>
    <cellStyle name="40% - Accent2 2 2" xfId="672"/>
    <cellStyle name="40% - Accent3 2" xfId="673"/>
    <cellStyle name="40% - Accent3 2 2" xfId="674"/>
    <cellStyle name="40% - Accent4 2" xfId="675"/>
    <cellStyle name="40% - Accent4 2 2" xfId="676"/>
    <cellStyle name="40% - Accent5 2" xfId="677"/>
    <cellStyle name="40% - Accent5 2 2" xfId="678"/>
    <cellStyle name="40% - Accent6 2" xfId="679"/>
    <cellStyle name="40% - Accent6 2 2" xfId="680"/>
    <cellStyle name="60% - Accent1 2" xfId="681"/>
    <cellStyle name="60% - Accent2 2" xfId="682"/>
    <cellStyle name="60% - Accent3 2" xfId="683"/>
    <cellStyle name="60% - Accent4 2" xfId="684"/>
    <cellStyle name="60% - Accent5 2" xfId="685"/>
    <cellStyle name="60% - Accent6 2" xfId="686"/>
    <cellStyle name="a" xfId="687"/>
    <cellStyle name="a_AC" xfId="688"/>
    <cellStyle name="a_Analisa ARSITEK" xfId="689"/>
    <cellStyle name="a_Backup of JGC Cilandak-EE WD R1" xfId="690"/>
    <cellStyle name="a_Boq" xfId="691"/>
    <cellStyle name="a_BTL_komering_ICB-01rev130907" xfId="692"/>
    <cellStyle name="a_EE PARIPURNA DPRD SUMUTREV" xfId="693"/>
    <cellStyle name="a_EE-SARANA PENUNJANG" xfId="694"/>
    <cellStyle name="a_FINALISASI MARUDA" xfId="695"/>
    <cellStyle name="a_INDOSAT BANDUNG-EE TAHAP 1" xfId="696"/>
    <cellStyle name="a_JGC Cilandak- RAB WD R-1" xfId="697"/>
    <cellStyle name="a_JGC Cilandak- RAB WD R-2" xfId="698"/>
    <cellStyle name="a_JGC Cilandak- RAB WD R-3" xfId="699"/>
    <cellStyle name="a_LAPIRAN KLARIFIKASI" xfId="700"/>
    <cellStyle name="a_Lintas  Bandung - EE" xfId="701"/>
    <cellStyle name="a_Lintasarta fin" xfId="702"/>
    <cellStyle name="a_ME EE WD REV" xfId="703"/>
    <cellStyle name="a_ME-BQ" xfId="704"/>
    <cellStyle name="a_rab_raja_plasa_baturaja" xfId="705"/>
    <cellStyle name="a_RAPK FINAL DVO Pipe Rack" xfId="706"/>
    <cellStyle name="a_REAL COST   SEKOLAH - RHESA-06  (18-12-06) FINAL VERSI - 3" xfId="707"/>
    <cellStyle name="a_Struktur Arsitektur - BQ" xfId="708"/>
    <cellStyle name="acc-0" xfId="709"/>
    <cellStyle name="acc-0 2" xfId="710"/>
    <cellStyle name="acc-2" xfId="711"/>
    <cellStyle name="acc-2 2" xfId="712"/>
    <cellStyle name="Accent1 - 20%" xfId="713"/>
    <cellStyle name="Accent1 - 20% 2" xfId="714"/>
    <cellStyle name="Accent1 - 40%" xfId="715"/>
    <cellStyle name="Accent1 - 40% 2" xfId="716"/>
    <cellStyle name="Accent1 - 60%" xfId="717"/>
    <cellStyle name="Accent1 2" xfId="718"/>
    <cellStyle name="Accent2 - 20%" xfId="719"/>
    <cellStyle name="Accent2 - 20% 2" xfId="720"/>
    <cellStyle name="Accent2 - 40%" xfId="721"/>
    <cellStyle name="Accent2 - 40% 2" xfId="722"/>
    <cellStyle name="Accent2 - 60%" xfId="723"/>
    <cellStyle name="Accent2 2" xfId="724"/>
    <cellStyle name="Accent3 - 20%" xfId="725"/>
    <cellStyle name="Accent3 - 20% 2" xfId="726"/>
    <cellStyle name="Accent3 - 40%" xfId="727"/>
    <cellStyle name="Accent3 - 40% 2" xfId="728"/>
    <cellStyle name="Accent3 - 60%" xfId="729"/>
    <cellStyle name="Accent3 2" xfId="730"/>
    <cellStyle name="Accent4 - 20%" xfId="731"/>
    <cellStyle name="Accent4 - 20% 2" xfId="732"/>
    <cellStyle name="Accent4 - 40%" xfId="733"/>
    <cellStyle name="Accent4 - 40% 2" xfId="734"/>
    <cellStyle name="Accent4 - 60%" xfId="735"/>
    <cellStyle name="Accent4 2" xfId="736"/>
    <cellStyle name="Accent5 - 20%" xfId="737"/>
    <cellStyle name="Accent5 - 20% 2" xfId="738"/>
    <cellStyle name="Accent5 - 40%" xfId="739"/>
    <cellStyle name="Accent5 - 40% 2" xfId="740"/>
    <cellStyle name="Accent5 - 60%" xfId="741"/>
    <cellStyle name="Accent5 2" xfId="742"/>
    <cellStyle name="Accent6 - 20%" xfId="743"/>
    <cellStyle name="Accent6 - 20% 2" xfId="744"/>
    <cellStyle name="Accent6 - 40%" xfId="745"/>
    <cellStyle name="Accent6 - 40% 2" xfId="746"/>
    <cellStyle name="Accent6 - 60%" xfId="747"/>
    <cellStyle name="Accent6 2" xfId="748"/>
    <cellStyle name="ÅëÈ­ [0]_±âÅ¸" xfId="749"/>
    <cellStyle name="AeE­ [0]_INQUIRY ¿?¾÷AßAø " xfId="750"/>
    <cellStyle name="ÅëÈ­_±âÅ¸" xfId="751"/>
    <cellStyle name="AeE­_INQUIRY ¿?¾÷AßAø " xfId="752"/>
    <cellStyle name="andi" xfId="753"/>
    <cellStyle name="APPEAR" xfId="754"/>
    <cellStyle name="args.style" xfId="755"/>
    <cellStyle name="Arial10" xfId="756"/>
    <cellStyle name="ARKONIN" xfId="757"/>
    <cellStyle name="ÄÞ¸¶ [0]_±âÅ¸" xfId="758"/>
    <cellStyle name="AÞ¸¶ [0]_INQUIRY ¿?¾÷AßAø " xfId="759"/>
    <cellStyle name="ÄÞ¸¶ [20]" xfId="760"/>
    <cellStyle name="ÄÞ¸¶_±âÅ¸" xfId="761"/>
    <cellStyle name="AÞ¸¶_INQUIRY ¿?¾÷AßAø " xfId="762"/>
    <cellStyle name="Bad 2" xfId="763"/>
    <cellStyle name="Bad 3" xfId="764"/>
    <cellStyle name="Body" xfId="765"/>
    <cellStyle name="bol" xfId="766"/>
    <cellStyle name="Bol 1" xfId="767"/>
    <cellStyle name="Bol 1 2" xfId="768"/>
    <cellStyle name="bol_RAB - E - 070909 " xfId="769"/>
    <cellStyle name="bol1" xfId="770"/>
    <cellStyle name="bottom" xfId="771"/>
    <cellStyle name="C?AØ_¿?¾÷CoE² " xfId="772"/>
    <cellStyle name="Ç¥ÁØ_¿¬°£´©°è¿¹»ó" xfId="773"/>
    <cellStyle name="C￥AØ_¿μ¾÷CoE² " xfId="774"/>
    <cellStyle name="Calc Currency (0)" xfId="775"/>
    <cellStyle name="Calc Currency (2)" xfId="776"/>
    <cellStyle name="Calc Percent (0)" xfId="777"/>
    <cellStyle name="Calc Percent (1)" xfId="778"/>
    <cellStyle name="Calc Percent (2)" xfId="779"/>
    <cellStyle name="Calc Units (0)" xfId="780"/>
    <cellStyle name="Calc Units (1)" xfId="781"/>
    <cellStyle name="Calc Units (2)" xfId="782"/>
    <cellStyle name="Calculation 2" xfId="783"/>
    <cellStyle name="Calculation 2 2" xfId="784"/>
    <cellStyle name="Check Cell 2" xfId="785"/>
    <cellStyle name="Comma" xfId="786" builtinId="3"/>
    <cellStyle name="Comma  - Style1" xfId="787"/>
    <cellStyle name="Comma  - Style1 2" xfId="788"/>
    <cellStyle name="Comma  - Style2" xfId="789"/>
    <cellStyle name="Comma  - Style2 2" xfId="790"/>
    <cellStyle name="Comma  - Style3" xfId="791"/>
    <cellStyle name="Comma  - Style3 2" xfId="792"/>
    <cellStyle name="Comma  - Style4" xfId="793"/>
    <cellStyle name="Comma  - Style4 2" xfId="794"/>
    <cellStyle name="Comma  - Style5" xfId="795"/>
    <cellStyle name="Comma  - Style5 2" xfId="796"/>
    <cellStyle name="Comma  - Style6" xfId="797"/>
    <cellStyle name="Comma  - Style6 2" xfId="798"/>
    <cellStyle name="Comma  - Style7" xfId="799"/>
    <cellStyle name="Comma  - Style7 2" xfId="800"/>
    <cellStyle name="Comma  - Style8" xfId="801"/>
    <cellStyle name="Comma  - Style8 2" xfId="802"/>
    <cellStyle name="Comma [0]" xfId="803" builtinId="6"/>
    <cellStyle name="Comma [0] 10" xfId="804"/>
    <cellStyle name="Comma [0] 10 10" xfId="805"/>
    <cellStyle name="Comma [0] 10 10 2" xfId="806"/>
    <cellStyle name="Comma [0] 10 2" xfId="807"/>
    <cellStyle name="Comma [0] 10 2 2" xfId="808"/>
    <cellStyle name="Comma [0] 10 3" xfId="809"/>
    <cellStyle name="Comma [0] 11" xfId="810"/>
    <cellStyle name="Comma [0] 11 2" xfId="811"/>
    <cellStyle name="Comma [0] 11 2 2" xfId="812"/>
    <cellStyle name="Comma [0] 11 3" xfId="813"/>
    <cellStyle name="Comma [0] 12" xfId="814"/>
    <cellStyle name="Comma [0] 12 2" xfId="815"/>
    <cellStyle name="Comma [0] 13" xfId="816"/>
    <cellStyle name="Comma [0] 13 2" xfId="817"/>
    <cellStyle name="Comma [0] 14" xfId="818"/>
    <cellStyle name="Comma [0] 14 2" xfId="819"/>
    <cellStyle name="Comma [0] 14 2 2" xfId="820"/>
    <cellStyle name="Comma [0] 14 3" xfId="821"/>
    <cellStyle name="Comma [0] 15" xfId="822"/>
    <cellStyle name="Comma [0] 15 2" xfId="823"/>
    <cellStyle name="Comma [0] 15 2 2" xfId="824"/>
    <cellStyle name="Comma [0] 15 2 2 2" xfId="825"/>
    <cellStyle name="Comma [0] 15 2 3" xfId="826"/>
    <cellStyle name="Comma [0] 15 3" xfId="827"/>
    <cellStyle name="Comma [0] 15 3 2" xfId="828"/>
    <cellStyle name="Comma [0] 15 3 2 2" xfId="829"/>
    <cellStyle name="Comma [0] 15 3 3" xfId="830"/>
    <cellStyle name="Comma [0] 15 4" xfId="831"/>
    <cellStyle name="Comma [0] 15 4 2" xfId="832"/>
    <cellStyle name="Comma [0] 15 5" xfId="833"/>
    <cellStyle name="Comma [0] 16" xfId="834"/>
    <cellStyle name="Comma [0] 16 2" xfId="835"/>
    <cellStyle name="Comma [0] 16 2 2" xfId="836"/>
    <cellStyle name="Comma [0] 16 3" xfId="837"/>
    <cellStyle name="Comma [0] 16 3 2" xfId="838"/>
    <cellStyle name="Comma [0] 16 4" xfId="839"/>
    <cellStyle name="Comma [0] 17" xfId="840"/>
    <cellStyle name="Comma [0] 17 2" xfId="841"/>
    <cellStyle name="Comma [0] 17 2 2" xfId="842"/>
    <cellStyle name="Comma [0] 17 3" xfId="843"/>
    <cellStyle name="Comma [0] 18" xfId="844"/>
    <cellStyle name="Comma [0] 18 2" xfId="845"/>
    <cellStyle name="Comma [0] 18 2 2" xfId="846"/>
    <cellStyle name="Comma [0] 18 2 2 2" xfId="847"/>
    <cellStyle name="Comma [0] 18 2 3" xfId="848"/>
    <cellStyle name="Comma [0] 18 3" xfId="849"/>
    <cellStyle name="Comma [0] 18 3 2" xfId="850"/>
    <cellStyle name="Comma [0] 18 4" xfId="851"/>
    <cellStyle name="Comma [0] 19" xfId="852"/>
    <cellStyle name="Comma [0] 19 2" xfId="853"/>
    <cellStyle name="Comma [0] 19 2 2" xfId="854"/>
    <cellStyle name="Comma [0] 19 3" xfId="855"/>
    <cellStyle name="Comma [0] 2" xfId="856"/>
    <cellStyle name="Comma [0] 2 177" xfId="1835"/>
    <cellStyle name="Comma [0] 2 2" xfId="857"/>
    <cellStyle name="Comma [0] 2 2 2" xfId="858"/>
    <cellStyle name="Comma [0] 2 2 2 2" xfId="859"/>
    <cellStyle name="Comma [0] 2 2 2 2 2" xfId="860"/>
    <cellStyle name="Comma [0] 2 2 2 3" xfId="861"/>
    <cellStyle name="Comma [0] 2 2 3" xfId="862"/>
    <cellStyle name="Comma [0] 2 2 4" xfId="863"/>
    <cellStyle name="Comma [0] 2 2 4 2" xfId="864"/>
    <cellStyle name="Comma [0] 2 2 5" xfId="865"/>
    <cellStyle name="Comma [0] 2 2 7" xfId="866"/>
    <cellStyle name="Comma [0] 2 2 7 2" xfId="867"/>
    <cellStyle name="Comma [0] 2 2_ANALISA 2008" xfId="868"/>
    <cellStyle name="Comma [0] 2 3" xfId="869"/>
    <cellStyle name="Comma [0] 2 3 2" xfId="870"/>
    <cellStyle name="Comma [0] 2 4" xfId="871"/>
    <cellStyle name="Comma [0] 2 4 2" xfId="872"/>
    <cellStyle name="Comma [0] 2 5" xfId="873"/>
    <cellStyle name="Comma [0] 2 5 2" xfId="874"/>
    <cellStyle name="Comma [0] 2 6" xfId="875"/>
    <cellStyle name="Comma [0] 2 6 2" xfId="876"/>
    <cellStyle name="Comma [0] 2 7" xfId="877"/>
    <cellStyle name="Comma [0] 20" xfId="878"/>
    <cellStyle name="Comma [0] 20 2" xfId="879"/>
    <cellStyle name="Comma [0] 20 2 2" xfId="880"/>
    <cellStyle name="Comma [0] 20 3" xfId="881"/>
    <cellStyle name="Comma [0] 20 3 2" xfId="882"/>
    <cellStyle name="Comma [0] 20 4" xfId="883"/>
    <cellStyle name="Comma [0] 21" xfId="884"/>
    <cellStyle name="Comma [0] 21 2" xfId="885"/>
    <cellStyle name="Comma [0] 22" xfId="886"/>
    <cellStyle name="Comma [0] 22 2" xfId="887"/>
    <cellStyle name="Comma [0] 22 3" xfId="888"/>
    <cellStyle name="Comma [0] 22 3 2" xfId="889"/>
    <cellStyle name="Comma [0] 23" xfId="890"/>
    <cellStyle name="Comma [0] 24" xfId="891"/>
    <cellStyle name="Comma [0] 3" xfId="892"/>
    <cellStyle name="Comma [0] 3 10" xfId="893"/>
    <cellStyle name="Comma [0] 3 2" xfId="894"/>
    <cellStyle name="Comma [0] 3 2 2" xfId="895"/>
    <cellStyle name="Comma [0] 3 2 2 2" xfId="896"/>
    <cellStyle name="Comma [0] 3 2 3" xfId="897"/>
    <cellStyle name="Comma [0] 3 3" xfId="898"/>
    <cellStyle name="Comma [0] 3 3 2" xfId="899"/>
    <cellStyle name="Comma [0] 3 3 2 2" xfId="900"/>
    <cellStyle name="Comma [0] 3 3 2 2 2" xfId="901"/>
    <cellStyle name="Comma [0] 3 3 2 3" xfId="902"/>
    <cellStyle name="Comma [0] 3 3 3" xfId="903"/>
    <cellStyle name="Comma [0] 3 3 3 2" xfId="904"/>
    <cellStyle name="Comma [0] 3 3 4" xfId="905"/>
    <cellStyle name="Comma [0] 3 3 4 2" xfId="906"/>
    <cellStyle name="Comma [0] 3 3 4 2 2" xfId="907"/>
    <cellStyle name="Comma [0] 3 3 4 3" xfId="908"/>
    <cellStyle name="Comma [0] 3 3 5" xfId="909"/>
    <cellStyle name="Comma [0] 3 3 5 2" xfId="910"/>
    <cellStyle name="Comma [0] 3 3 6" xfId="911"/>
    <cellStyle name="Comma [0] 3 4" xfId="912"/>
    <cellStyle name="Comma [0] 3 4 2" xfId="913"/>
    <cellStyle name="Comma [0] 3 4 2 2" xfId="914"/>
    <cellStyle name="Comma [0] 3 4 3" xfId="915"/>
    <cellStyle name="Comma [0] 3 5" xfId="916"/>
    <cellStyle name="Comma [0] 3 5 2" xfId="917"/>
    <cellStyle name="Comma [0] 3 6" xfId="918"/>
    <cellStyle name="Comma [0] 3 6 2" xfId="919"/>
    <cellStyle name="Comma [0] 3 7" xfId="920"/>
    <cellStyle name="Comma [0] 3 7 2" xfId="921"/>
    <cellStyle name="Comma [0] 3 8" xfId="922"/>
    <cellStyle name="Comma [0] 3 8 2" xfId="923"/>
    <cellStyle name="Comma [0] 3 9" xfId="924"/>
    <cellStyle name="Comma [0] 3 9 2" xfId="925"/>
    <cellStyle name="Comma [0] 4" xfId="926"/>
    <cellStyle name="Comma [0] 4 2" xfId="927"/>
    <cellStyle name="Comma [0] 4 2 2" xfId="928"/>
    <cellStyle name="Comma [0] 4 2 2 2" xfId="929"/>
    <cellStyle name="Comma [0] 4 2 3" xfId="930"/>
    <cellStyle name="Comma [0] 4 2 3 2" xfId="931"/>
    <cellStyle name="Comma [0] 4 2 4" xfId="932"/>
    <cellStyle name="Comma [0] 4 2 4 2" xfId="933"/>
    <cellStyle name="Comma [0] 4 2 5" xfId="934"/>
    <cellStyle name="Comma [0] 4 3" xfId="935"/>
    <cellStyle name="Comma [0] 4 3 2" xfId="936"/>
    <cellStyle name="Comma [0] 4 4" xfId="937"/>
    <cellStyle name="Comma [0] 4 4 2" xfId="938"/>
    <cellStyle name="Comma [0] 4 5" xfId="939"/>
    <cellStyle name="Comma [0] 4 5 2" xfId="940"/>
    <cellStyle name="Comma [0] 4 6" xfId="941"/>
    <cellStyle name="Comma [0] 5" xfId="942"/>
    <cellStyle name="Comma [0] 5 2" xfId="943"/>
    <cellStyle name="Comma [0] 5 2 2" xfId="944"/>
    <cellStyle name="Comma [0] 5 2 6" xfId="945"/>
    <cellStyle name="Comma [0] 5 2 6 2" xfId="946"/>
    <cellStyle name="Comma [0] 5 3" xfId="947"/>
    <cellStyle name="Comma [0] 5 3 2" xfId="948"/>
    <cellStyle name="Comma [0] 5 4" xfId="949"/>
    <cellStyle name="Comma [0] 5 5" xfId="950"/>
    <cellStyle name="Comma [0] 5_BQ &amp; An Entrnce &amp; Genset (R-0)" xfId="951"/>
    <cellStyle name="Comma [0] 6" xfId="952"/>
    <cellStyle name="Comma [0] 6 2" xfId="953"/>
    <cellStyle name="Comma [0] 6 2 2" xfId="954"/>
    <cellStyle name="Comma [0] 6 3" xfId="955"/>
    <cellStyle name="Comma [0] 6 3 2" xfId="956"/>
    <cellStyle name="Comma [0] 6 4" xfId="957"/>
    <cellStyle name="Comma [0] 7" xfId="958"/>
    <cellStyle name="Comma [0] 7 2" xfId="959"/>
    <cellStyle name="Comma [0] 7 2 2" xfId="960"/>
    <cellStyle name="Comma [0] 7 3" xfId="961"/>
    <cellStyle name="Comma [0] 8" xfId="962"/>
    <cellStyle name="Comma [0] 8 2" xfId="963"/>
    <cellStyle name="Comma [0] 8 2 2" xfId="964"/>
    <cellStyle name="Comma [0] 8 3" xfId="965"/>
    <cellStyle name="Comma [0] 9" xfId="966"/>
    <cellStyle name="Comma [0] 9 2" xfId="967"/>
    <cellStyle name="Comma [0] 9 2 2" xfId="968"/>
    <cellStyle name="Comma [0] 9 3" xfId="969"/>
    <cellStyle name="Comma [00]" xfId="970"/>
    <cellStyle name="Comma [2]" xfId="971"/>
    <cellStyle name="Comma [2] 2" xfId="972"/>
    <cellStyle name="Comma [3]" xfId="973"/>
    <cellStyle name="Comma [3] 2" xfId="974"/>
    <cellStyle name="Comma 0" xfId="975"/>
    <cellStyle name="Comma 10" xfId="976"/>
    <cellStyle name="Comma 10 2" xfId="977"/>
    <cellStyle name="Comma 10 2 2" xfId="978"/>
    <cellStyle name="Comma 10 2 2 2" xfId="979"/>
    <cellStyle name="Comma 10 2 3" xfId="980"/>
    <cellStyle name="Comma 10 3" xfId="981"/>
    <cellStyle name="Comma 10 3 2" xfId="982"/>
    <cellStyle name="Comma 10 3 2 2" xfId="983"/>
    <cellStyle name="Comma 10 3 3" xfId="984"/>
    <cellStyle name="Comma 10 4" xfId="985"/>
    <cellStyle name="Comma 10 4 2" xfId="986"/>
    <cellStyle name="Comma 10 5" xfId="987"/>
    <cellStyle name="Comma 10 6" xfId="1830"/>
    <cellStyle name="Comma 11" xfId="988"/>
    <cellStyle name="Comma 11 2" xfId="989"/>
    <cellStyle name="Comma 11 2 2" xfId="990"/>
    <cellStyle name="Comma 11 3" xfId="991"/>
    <cellStyle name="Comma 11 3 2" xfId="992"/>
    <cellStyle name="Comma 11 4" xfId="993"/>
    <cellStyle name="Comma 11_METODOLOGI" xfId="994"/>
    <cellStyle name="Comma 12" xfId="995"/>
    <cellStyle name="Comma 12 2" xfId="996"/>
    <cellStyle name="Comma 12 2 2" xfId="997"/>
    <cellStyle name="Comma 12 3" xfId="998"/>
    <cellStyle name="Comma 13" xfId="999"/>
    <cellStyle name="Comma 13 2" xfId="1000"/>
    <cellStyle name="Comma 14" xfId="1001"/>
    <cellStyle name="Comma 14 2" xfId="1002"/>
    <cellStyle name="Comma 14 2 2" xfId="1003"/>
    <cellStyle name="Comma 14 3" xfId="1004"/>
    <cellStyle name="Comma 14 3 2" xfId="1005"/>
    <cellStyle name="Comma 14 4" xfId="1006"/>
    <cellStyle name="Comma 15" xfId="1007"/>
    <cellStyle name="Comma 15 2" xfId="1008"/>
    <cellStyle name="Comma 15 2 2" xfId="1009"/>
    <cellStyle name="Comma 15 3" xfId="1010"/>
    <cellStyle name="Comma 16" xfId="1011"/>
    <cellStyle name="Comma 16 2" xfId="1012"/>
    <cellStyle name="Comma 17" xfId="1013"/>
    <cellStyle name="Comma 17 2" xfId="1014"/>
    <cellStyle name="Comma 17 2 2" xfId="1015"/>
    <cellStyle name="Comma 17 3" xfId="1016"/>
    <cellStyle name="Comma 18" xfId="1017"/>
    <cellStyle name="Comma 18 2" xfId="1018"/>
    <cellStyle name="Comma 19" xfId="1019"/>
    <cellStyle name="Comma 19 2" xfId="1020"/>
    <cellStyle name="Comma 2" xfId="1021"/>
    <cellStyle name="Comma 2 10" xfId="1022"/>
    <cellStyle name="Comma 2 2" xfId="1023"/>
    <cellStyle name="Comma 2 2 2" xfId="1024"/>
    <cellStyle name="Comma 2 2 2 2" xfId="1025"/>
    <cellStyle name="Comma 2 2 2 2 2" xfId="1026"/>
    <cellStyle name="Comma 2 2 2 3" xfId="1027"/>
    <cellStyle name="Comma 2 2 2 3 2" xfId="1028"/>
    <cellStyle name="Comma 2 2 2 4" xfId="1029"/>
    <cellStyle name="Comma 2 2 2 5" xfId="1030"/>
    <cellStyle name="Comma 2 2 2 5 2" xfId="1031"/>
    <cellStyle name="Comma 2 2 3" xfId="1032"/>
    <cellStyle name="Comma 2 2 3 2" xfId="1033"/>
    <cellStyle name="Comma 2 2 4" xfId="1034"/>
    <cellStyle name="Comma 2 2 4 2" xfId="1035"/>
    <cellStyle name="Comma 2 2 5" xfId="1036"/>
    <cellStyle name="Comma 2 2 5 2" xfId="1037"/>
    <cellStyle name="Comma 2 2 6" xfId="1038"/>
    <cellStyle name="Comma 2 2_PEN. RSU SMD'10" xfId="1039"/>
    <cellStyle name="Comma 2 3" xfId="1040"/>
    <cellStyle name="Comma 2 3 2" xfId="1041"/>
    <cellStyle name="Comma 2 3 2 2" xfId="1042"/>
    <cellStyle name="Comma 2 3 3" xfId="1043"/>
    <cellStyle name="Comma 2 3 3 2" xfId="1044"/>
    <cellStyle name="Comma 2 3 4" xfId="1045"/>
    <cellStyle name="Comma 2 4" xfId="1046"/>
    <cellStyle name="Comma 2 4 2" xfId="1047"/>
    <cellStyle name="Comma 2 4 2 2" xfId="1048"/>
    <cellStyle name="Comma 2 4 3" xfId="1049"/>
    <cellStyle name="Comma 2 5" xfId="1050"/>
    <cellStyle name="Comma 2 5 2" xfId="1051"/>
    <cellStyle name="Comma 2 5 2 2" xfId="1052"/>
    <cellStyle name="Comma 2 5 2 2 2" xfId="1053"/>
    <cellStyle name="Comma 2 5 2 3" xfId="1054"/>
    <cellStyle name="Comma 2 5 3" xfId="1055"/>
    <cellStyle name="Comma 2 5 3 2" xfId="1056"/>
    <cellStyle name="Comma 2 5 4" xfId="1057"/>
    <cellStyle name="Comma 2 6" xfId="1058"/>
    <cellStyle name="Comma 2 6 2" xfId="1059"/>
    <cellStyle name="Comma 2 7" xfId="1060"/>
    <cellStyle name="Comma 2 7 2" xfId="1061"/>
    <cellStyle name="Comma 2 8" xfId="1062"/>
    <cellStyle name="Comma 2 8 2" xfId="1063"/>
    <cellStyle name="Comma 2 9" xfId="1064"/>
    <cellStyle name="Comma 2 9 2" xfId="1065"/>
    <cellStyle name="Comma 2_ANALISA HARSAT" xfId="1066"/>
    <cellStyle name="Comma 20" xfId="1067"/>
    <cellStyle name="Comma 20 2" xfId="1068"/>
    <cellStyle name="Comma 21" xfId="1069"/>
    <cellStyle name="Comma 21 2" xfId="1070"/>
    <cellStyle name="Comma 22" xfId="1071"/>
    <cellStyle name="Comma 22 2" xfId="1072"/>
    <cellStyle name="Comma 22 2 2" xfId="1073"/>
    <cellStyle name="Comma 22 2 2 2" xfId="1074"/>
    <cellStyle name="Comma 22 2 3" xfId="1075"/>
    <cellStyle name="Comma 22 3" xfId="1076"/>
    <cellStyle name="Comma 22 3 2" xfId="1077"/>
    <cellStyle name="Comma 22 3 2 2" xfId="1078"/>
    <cellStyle name="Comma 22 3 3" xfId="1079"/>
    <cellStyle name="Comma 22 4" xfId="1080"/>
    <cellStyle name="Comma 22 4 2" xfId="1081"/>
    <cellStyle name="Comma 22 5" xfId="1082"/>
    <cellStyle name="Comma 23" xfId="1083"/>
    <cellStyle name="Comma 23 2" xfId="1084"/>
    <cellStyle name="Comma 23 2 2" xfId="1085"/>
    <cellStyle name="Comma 23 3" xfId="1086"/>
    <cellStyle name="Comma 24" xfId="1087"/>
    <cellStyle name="Comma 24 2" xfId="1088"/>
    <cellStyle name="Comma 24 2 2" xfId="1089"/>
    <cellStyle name="Comma 24 3" xfId="1090"/>
    <cellStyle name="Comma 25" xfId="1091"/>
    <cellStyle name="Comma 25 2" xfId="1092"/>
    <cellStyle name="Comma 26" xfId="1093"/>
    <cellStyle name="Comma 26 2" xfId="1094"/>
    <cellStyle name="Comma 27" xfId="1095"/>
    <cellStyle name="Comma 27 2" xfId="1096"/>
    <cellStyle name="Comma 28" xfId="1097"/>
    <cellStyle name="Comma 28 2" xfId="1098"/>
    <cellStyle name="Comma 29" xfId="1099"/>
    <cellStyle name="Comma 29 2" xfId="1100"/>
    <cellStyle name="Comma 3" xfId="1101"/>
    <cellStyle name="Comma 3 10" xfId="1102"/>
    <cellStyle name="Comma 3 11" xfId="1825"/>
    <cellStyle name="Comma 3 2" xfId="1103"/>
    <cellStyle name="Comma 3 2 2" xfId="1104"/>
    <cellStyle name="Comma 3 2 2 2" xfId="1105"/>
    <cellStyle name="Comma 3 2 3" xfId="1106"/>
    <cellStyle name="Comma 3 2 3 2" xfId="1107"/>
    <cellStyle name="Comma 3 2 4" xfId="1108"/>
    <cellStyle name="Comma 3 3" xfId="1109"/>
    <cellStyle name="Comma 3 3 2" xfId="1110"/>
    <cellStyle name="Comma 3 3 3" xfId="1111"/>
    <cellStyle name="Comma 3 4" xfId="1112"/>
    <cellStyle name="Comma 3 4 2" xfId="1113"/>
    <cellStyle name="Comma 3 4 2 2" xfId="1114"/>
    <cellStyle name="Comma 3 4 3" xfId="1115"/>
    <cellStyle name="Comma 3 5" xfId="1116"/>
    <cellStyle name="Comma 3 5 2" xfId="1117"/>
    <cellStyle name="Comma 3 6" xfId="1118"/>
    <cellStyle name="Comma 3 6 2" xfId="1119"/>
    <cellStyle name="Comma 3 7" xfId="1120"/>
    <cellStyle name="Comma 3 7 2" xfId="1121"/>
    <cellStyle name="Comma 3 8" xfId="1122"/>
    <cellStyle name="Comma 3 8 2" xfId="1123"/>
    <cellStyle name="Comma 3 9" xfId="1124"/>
    <cellStyle name="Comma 3 9 2" xfId="1125"/>
    <cellStyle name="Comma 3_Hydrant" xfId="1126"/>
    <cellStyle name="Comma 30" xfId="1127"/>
    <cellStyle name="Comma 30 2" xfId="1128"/>
    <cellStyle name="Comma 31" xfId="1129"/>
    <cellStyle name="Comma 31 2" xfId="1130"/>
    <cellStyle name="Comma 32" xfId="1131"/>
    <cellStyle name="Comma 32 2" xfId="1132"/>
    <cellStyle name="Comma 33" xfId="1133"/>
    <cellStyle name="Comma 33 2" xfId="1134"/>
    <cellStyle name="Comma 34" xfId="1135"/>
    <cellStyle name="Comma 34 2" xfId="1136"/>
    <cellStyle name="Comma 35" xfId="1137"/>
    <cellStyle name="Comma 35 2" xfId="1138"/>
    <cellStyle name="Comma 36" xfId="1139"/>
    <cellStyle name="Comma 36 2" xfId="1140"/>
    <cellStyle name="Comma 37" xfId="1141"/>
    <cellStyle name="Comma 37 2" xfId="1142"/>
    <cellStyle name="Comma 38" xfId="1143"/>
    <cellStyle name="Comma 38 2" xfId="1144"/>
    <cellStyle name="Comma 39" xfId="1145"/>
    <cellStyle name="Comma 39 2" xfId="1146"/>
    <cellStyle name="Comma 4" xfId="1147"/>
    <cellStyle name="Comma 4 2" xfId="1148"/>
    <cellStyle name="Comma 4 2 2" xfId="1149"/>
    <cellStyle name="Comma 4 2 2 2" xfId="1150"/>
    <cellStyle name="Comma 4 2 2 2 2" xfId="1151"/>
    <cellStyle name="Comma 4 2 2 3" xfId="1152"/>
    <cellStyle name="Comma 4 2 3" xfId="1153"/>
    <cellStyle name="Comma 4 2 3 2" xfId="1154"/>
    <cellStyle name="Comma 4 2 4" xfId="1155"/>
    <cellStyle name="Comma 4 2 4 2" xfId="1156"/>
    <cellStyle name="Comma 4 2 5" xfId="1157"/>
    <cellStyle name="Comma 4 3" xfId="1158"/>
    <cellStyle name="Comma 4 3 2" xfId="1159"/>
    <cellStyle name="Comma 4 4" xfId="1160"/>
    <cellStyle name="Comma 4 4 2" xfId="1161"/>
    <cellStyle name="Comma 4 5" xfId="1162"/>
    <cellStyle name="Comma 4 5 2" xfId="1163"/>
    <cellStyle name="Comma 4 6" xfId="1164"/>
    <cellStyle name="Comma 4 7" xfId="1828"/>
    <cellStyle name="Comma 40" xfId="1165"/>
    <cellStyle name="Comma 40 2" xfId="1166"/>
    <cellStyle name="Comma 41" xfId="1167"/>
    <cellStyle name="Comma 41 2" xfId="1168"/>
    <cellStyle name="Comma 42" xfId="1169"/>
    <cellStyle name="Comma 42 2" xfId="1170"/>
    <cellStyle name="Comma 43" xfId="1171"/>
    <cellStyle name="Comma 43 2" xfId="1172"/>
    <cellStyle name="Comma 44" xfId="1173"/>
    <cellStyle name="Comma 44 2" xfId="1174"/>
    <cellStyle name="Comma 44 2 2" xfId="1175"/>
    <cellStyle name="Comma 44 3" xfId="1176"/>
    <cellStyle name="Comma 45" xfId="1177"/>
    <cellStyle name="Comma 45 2" xfId="1178"/>
    <cellStyle name="Comma 45 2 2" xfId="1179"/>
    <cellStyle name="Comma 45 3" xfId="1180"/>
    <cellStyle name="Comma 46" xfId="1181"/>
    <cellStyle name="Comma 46 2" xfId="1182"/>
    <cellStyle name="Comma 46 2 2" xfId="1183"/>
    <cellStyle name="Comma 46 3" xfId="1184"/>
    <cellStyle name="Comma 47" xfId="1185"/>
    <cellStyle name="Comma 47 2" xfId="1186"/>
    <cellStyle name="Comma 47 2 2" xfId="1187"/>
    <cellStyle name="Comma 47 3" xfId="1188"/>
    <cellStyle name="Comma 48" xfId="1189"/>
    <cellStyle name="Comma 48 2" xfId="1190"/>
    <cellStyle name="Comma 49" xfId="1191"/>
    <cellStyle name="Comma 49 2" xfId="1192"/>
    <cellStyle name="Comma 5" xfId="1193"/>
    <cellStyle name="Comma 5 2" xfId="1194"/>
    <cellStyle name="Comma 5 2 2" xfId="1195"/>
    <cellStyle name="Comma 5 2 2 2" xfId="1196"/>
    <cellStyle name="Comma 5 2 3" xfId="1197"/>
    <cellStyle name="Comma 5 2 4" xfId="1198"/>
    <cellStyle name="Comma 5 2 4 2" xfId="1199"/>
    <cellStyle name="Comma 5 3" xfId="1200"/>
    <cellStyle name="Comma 5 3 2" xfId="1201"/>
    <cellStyle name="Comma 5 4" xfId="1202"/>
    <cellStyle name="Comma 5 5" xfId="1203"/>
    <cellStyle name="Comma 5 5 2" xfId="1204"/>
    <cellStyle name="Comma 5 6" xfId="1205"/>
    <cellStyle name="Comma 50" xfId="1206"/>
    <cellStyle name="Comma 51" xfId="1207"/>
    <cellStyle name="Comma 52" xfId="1208"/>
    <cellStyle name="Comma 53" xfId="1209"/>
    <cellStyle name="Comma 54" xfId="1210"/>
    <cellStyle name="Comma 55" xfId="1211"/>
    <cellStyle name="Comma 56" xfId="1212"/>
    <cellStyle name="Comma 57" xfId="1213"/>
    <cellStyle name="Comma 58" xfId="1214"/>
    <cellStyle name="Comma 59" xfId="1215"/>
    <cellStyle name="Comma 6" xfId="1216"/>
    <cellStyle name="Comma 6 2" xfId="1217"/>
    <cellStyle name="Comma 6 2 2" xfId="1218"/>
    <cellStyle name="Comma 6 2 2 2" xfId="1219"/>
    <cellStyle name="Comma 6 2 3" xfId="1220"/>
    <cellStyle name="Comma 6 3" xfId="1221"/>
    <cellStyle name="Comma 6 3 2" xfId="1222"/>
    <cellStyle name="Comma 6 3 2 2" xfId="1223"/>
    <cellStyle name="Comma 6 3 3" xfId="1224"/>
    <cellStyle name="Comma 6 4" xfId="1225"/>
    <cellStyle name="Comma 60" xfId="1226"/>
    <cellStyle name="Comma 61" xfId="1227"/>
    <cellStyle name="Comma 62" xfId="1820"/>
    <cellStyle name="Comma 63" xfId="1837"/>
    <cellStyle name="Comma 64" xfId="1841"/>
    <cellStyle name="Comma 65" xfId="1844"/>
    <cellStyle name="Comma 66" xfId="1848"/>
    <cellStyle name="Comma 67" xfId="1850"/>
    <cellStyle name="Comma 68" xfId="1852"/>
    <cellStyle name="Comma 7" xfId="1228"/>
    <cellStyle name="Comma 7 2" xfId="1229"/>
    <cellStyle name="Comma 7 2 2" xfId="1230"/>
    <cellStyle name="Comma 7 3" xfId="1231"/>
    <cellStyle name="Comma 7 4" xfId="1232"/>
    <cellStyle name="Comma 7 5" xfId="1233"/>
    <cellStyle name="Comma 7 5 2" xfId="1834"/>
    <cellStyle name="Comma 8" xfId="1234"/>
    <cellStyle name="Comma 8 2" xfId="1235"/>
    <cellStyle name="Comma 8 2 2" xfId="1236"/>
    <cellStyle name="Comma 8 3" xfId="1237"/>
    <cellStyle name="Comma 8 3 2" xfId="1238"/>
    <cellStyle name="Comma 8 4" xfId="1239"/>
    <cellStyle name="Comma 9" xfId="1240"/>
    <cellStyle name="Comma 9 2" xfId="1241"/>
    <cellStyle name="Comma 9 2 2" xfId="1242"/>
    <cellStyle name="Comma 9 2 2 2" xfId="1243"/>
    <cellStyle name="Comma 9 2 3" xfId="1244"/>
    <cellStyle name="Comma 9 3" xfId="1245"/>
    <cellStyle name="Comma 9 3 2" xfId="1246"/>
    <cellStyle name="Comma 9 3 2 2" xfId="1247"/>
    <cellStyle name="Comma 9 3 3" xfId="1248"/>
    <cellStyle name="Comma 9 4" xfId="1249"/>
    <cellStyle name="Comma 9_PEN. RSU SMD'10" xfId="1250"/>
    <cellStyle name="Comma0" xfId="1251"/>
    <cellStyle name="Comma0 2" xfId="1252"/>
    <cellStyle name="Copied" xfId="1253"/>
    <cellStyle name="CSI" xfId="1254"/>
    <cellStyle name="Currency [0] 2" xfId="1255"/>
    <cellStyle name="Currency [0] 2 2" xfId="1256"/>
    <cellStyle name="Currency [0] 2 2 2" xfId="1257"/>
    <cellStyle name="Currency [0] 2 3" xfId="1258"/>
    <cellStyle name="Currency [0] 2 4" xfId="1259"/>
    <cellStyle name="Currency [0] 3" xfId="1260"/>
    <cellStyle name="Currency [0] 4" xfId="1261"/>
    <cellStyle name="Currency [00]" xfId="1262"/>
    <cellStyle name="Currency 10" xfId="1263"/>
    <cellStyle name="Currency 11" xfId="1264"/>
    <cellStyle name="Currency 12" xfId="1265"/>
    <cellStyle name="Currency 13" xfId="1266"/>
    <cellStyle name="Currency 14" xfId="1267"/>
    <cellStyle name="Currency 15" xfId="1268"/>
    <cellStyle name="Currency 16" xfId="1269"/>
    <cellStyle name="Currency 2" xfId="1270"/>
    <cellStyle name="Currency 2 2" xfId="1271"/>
    <cellStyle name="Currency 2 3" xfId="1272"/>
    <cellStyle name="Currency 2 4" xfId="1273"/>
    <cellStyle name="Currency 3" xfId="1274"/>
    <cellStyle name="Currency 3 2" xfId="1275"/>
    <cellStyle name="Currency 3 2 2" xfId="1276"/>
    <cellStyle name="Currency 3 3" xfId="1277"/>
    <cellStyle name="Currency 4" xfId="1278"/>
    <cellStyle name="Currency 4 2" xfId="1279"/>
    <cellStyle name="Currency 5" xfId="1280"/>
    <cellStyle name="Currency 6" xfId="1281"/>
    <cellStyle name="Currency 7" xfId="1282"/>
    <cellStyle name="Currency 8" xfId="1283"/>
    <cellStyle name="Currency 9" xfId="1284"/>
    <cellStyle name="Currency0" xfId="1285"/>
    <cellStyle name="Currency0 2" xfId="1286"/>
    <cellStyle name="custom" xfId="1287"/>
    <cellStyle name="Custom - Style8" xfId="1288"/>
    <cellStyle name="Data   - Style2" xfId="1289"/>
    <cellStyle name="Data   - Style2 2" xfId="1290"/>
    <cellStyle name="Date" xfId="1291"/>
    <cellStyle name="Date 2" xfId="1292"/>
    <cellStyle name="Date Short" xfId="1293"/>
    <cellStyle name="Date_ALTERNATIF - I KBI (Kyoraku Blow molding)" xfId="1294"/>
    <cellStyle name="date1" xfId="1295"/>
    <cellStyle name="Description" xfId="1296"/>
    <cellStyle name="Dezimal [0]_Central Install 6-up" xfId="1297"/>
    <cellStyle name="Dezimal_Central Install 6-up" xfId="1298"/>
    <cellStyle name="DUA" xfId="1299"/>
    <cellStyle name="Emphasis 1" xfId="1300"/>
    <cellStyle name="Emphasis 2" xfId="1301"/>
    <cellStyle name="Emphasis 3" xfId="1302"/>
    <cellStyle name="Enter Currency (0)" xfId="1303"/>
    <cellStyle name="Enter Currency (2)" xfId="1304"/>
    <cellStyle name="Enter Units (0)" xfId="1305"/>
    <cellStyle name="Enter Units (1)" xfId="1306"/>
    <cellStyle name="Enter Units (2)" xfId="1307"/>
    <cellStyle name="Entered" xfId="1308"/>
    <cellStyle name="Euro" xfId="1309"/>
    <cellStyle name="Explanatory Text 2" xfId="1310"/>
    <cellStyle name="f" xfId="1311"/>
    <cellStyle name="ƒ" xfId="1312"/>
    <cellStyle name="ƒ_ALTERNATIF - I KBI (Kyoraku Blow molding)" xfId="1313"/>
    <cellStyle name="ƒ_ANALISA HARGA Mekanikal Dklat" xfId="1314"/>
    <cellStyle name="ƒ_BQ-E" xfId="1315"/>
    <cellStyle name="ƒ_BQ-E_Bq-M-23 August 2004" xfId="1316"/>
    <cellStyle name="ƒ_BQ-elec-kiic4(D) " xfId="1317"/>
    <cellStyle name="ƒ_Bq-Form Mech ( Baru ) 05" xfId="1318"/>
    <cellStyle name="ƒ_BQ-Mech. Summitmas II" xfId="1319"/>
    <cellStyle name="ƒ_BQ-Moric-Elec (A)" xfId="1320"/>
    <cellStyle name="ƒ_BQ-SHIBAURA SHEARING" xfId="1321"/>
    <cellStyle name="ƒ_BQ-SHIBAURA SHEARING(Cancel)" xfId="1322"/>
    <cellStyle name="ƒ_BQ-YAMAHA FLAGSHIP-A" xfId="1323"/>
    <cellStyle name="ƒ_Expense" xfId="1324"/>
    <cellStyle name="ƒ_MAKER LIST" xfId="1325"/>
    <cellStyle name="ƒ_sex" xfId="1326"/>
    <cellStyle name="ƒ_sex_b1.57.1417.2004(B)" xfId="1327"/>
    <cellStyle name="ƒ_sex_b1.57.1417.2004(B)_Bq-M-23 August 2004" xfId="1328"/>
    <cellStyle name="ƒ_sex_Bq-M-23 August 2004" xfId="1329"/>
    <cellStyle name="F2" xfId="1330"/>
    <cellStyle name="F3" xfId="1331"/>
    <cellStyle name="F4" xfId="1332"/>
    <cellStyle name="F5" xfId="1333"/>
    <cellStyle name="F6" xfId="1334"/>
    <cellStyle name="F7" xfId="1335"/>
    <cellStyle name="F8" xfId="1336"/>
    <cellStyle name="Fixed" xfId="1337"/>
    <cellStyle name="Fixed 2" xfId="1338"/>
    <cellStyle name="ƒnƒCƒp[ƒŠƒ“ƒN" xfId="1339"/>
    <cellStyle name="Foottitle" xfId="1340"/>
    <cellStyle name="Good 2" xfId="1341"/>
    <cellStyle name="Grey" xfId="1342"/>
    <cellStyle name="GTT%" xfId="1343"/>
    <cellStyle name="header" xfId="1344"/>
    <cellStyle name="Header - Style1" xfId="1345"/>
    <cellStyle name="Header1" xfId="1346"/>
    <cellStyle name="Header2" xfId="1347"/>
    <cellStyle name="Header2 2" xfId="1348"/>
    <cellStyle name="Heading" xfId="1349"/>
    <cellStyle name="Heading 1 2" xfId="1350"/>
    <cellStyle name="Heading 1 3" xfId="1351"/>
    <cellStyle name="Heading 2 2" xfId="1352"/>
    <cellStyle name="Heading 2 3" xfId="1353"/>
    <cellStyle name="Heading 3 2" xfId="1354"/>
    <cellStyle name="Heading 4 2" xfId="1355"/>
    <cellStyle name="Heading1" xfId="1356"/>
    <cellStyle name="Heading1 1" xfId="1357"/>
    <cellStyle name="Heading2" xfId="1358"/>
    <cellStyle name="HEADINGS" xfId="1359"/>
    <cellStyle name="HEADINGSTOP" xfId="1360"/>
    <cellStyle name="HIDE" xfId="1361"/>
    <cellStyle name="Hyperlink 2" xfId="1362"/>
    <cellStyle name="Input [yellow]" xfId="1363"/>
    <cellStyle name="Input [yellow] 2" xfId="1364"/>
    <cellStyle name="Input 2" xfId="1365"/>
    <cellStyle name="Input 2 2" xfId="1366"/>
    <cellStyle name="k" xfId="1367"/>
    <cellStyle name="k_12 feb 2007 KIRIM BQ ELEKTRIKAL SDH CIKARANG" xfId="1368"/>
    <cellStyle name="k_KIRIM BQ MEKANIKAL SDH CIKARANG" xfId="1369"/>
    <cellStyle name="kop" xfId="1370"/>
    <cellStyle name="L" xfId="1371"/>
    <cellStyle name="L_12 feb 2007 KIRIM BQ ELEKTRIKAL SDH CIKARANG" xfId="1372"/>
    <cellStyle name="L_KIRIM BQ MEKANIKAL SDH CIKARANG" xfId="1373"/>
    <cellStyle name="Labels - Style3" xfId="1374"/>
    <cellStyle name="Labels - Style3 2" xfId="1375"/>
    <cellStyle name="Length" xfId="1376"/>
    <cellStyle name="Link Currency (0)" xfId="1377"/>
    <cellStyle name="Link Currency (2)" xfId="1378"/>
    <cellStyle name="Link Units (0)" xfId="1379"/>
    <cellStyle name="Link Units (1)" xfId="1380"/>
    <cellStyle name="Link Units (2)" xfId="1381"/>
    <cellStyle name="Linked Cell 2" xfId="1382"/>
    <cellStyle name="lo" xfId="1383"/>
    <cellStyle name="m" xfId="1384"/>
    <cellStyle name="M_12 feb 2007 KIRIM BQ ELEKTRIKAL SDH CIKARANG" xfId="1385"/>
    <cellStyle name="m_Analisa ARSITEK" xfId="1386"/>
    <cellStyle name="m_ANALISA HARSAT" xfId="1387"/>
    <cellStyle name="m_Boq" xfId="1388"/>
    <cellStyle name="m_BoQ Tanah" xfId="1389"/>
    <cellStyle name="m_BoQ Tanah_PERB.RAB-RC" xfId="1390"/>
    <cellStyle name="m_BQ_Pancang" xfId="1391"/>
    <cellStyle name="m_BQ_Struktur &amp; Arsitek_R1_Ow" xfId="1392"/>
    <cellStyle name="m_BQ_Struktur_Hotel_Forcon_based 25 Juli 2008_HOTEL" xfId="1393"/>
    <cellStyle name="m_BTL_komering_ICB-01rev130907" xfId="1394"/>
    <cellStyle name="m_BTL_komering_ICB-01rev130907_BoQ Tanah" xfId="1395"/>
    <cellStyle name="m_BTL_komering_ICB-01rev130907_BoQ Tanah_PERB.RAB-RC" xfId="1396"/>
    <cellStyle name="m_BTL_komering_ICB-01rev130907_PERB.RAB-RC" xfId="1397"/>
    <cellStyle name="m_BTL_komering_ICB-01rev130907_RAPK ICB-3 130609" xfId="1398"/>
    <cellStyle name="m_Cost Plan_STRUKTUR" xfId="1399"/>
    <cellStyle name="m_FINALISASI MARUDA" xfId="1400"/>
    <cellStyle name="M_KIRIM BQ MEKANIKAL SDH CIKARANG" xfId="1401"/>
    <cellStyle name="m_Loc_01 SDN Bukit Antara Module C-F 200707 " xfId="1402"/>
    <cellStyle name="m_NON STANDAR" xfId="1403"/>
    <cellStyle name="m_PERB.RAB-RC" xfId="1404"/>
    <cellStyle name="m_RAPK FINAL DVO Pipe Rack" xfId="1405"/>
    <cellStyle name="m_RAPK ICB-3 130609" xfId="1406"/>
    <cellStyle name="m_RC  TELKOM MEDAN HAN- INTERN 10-03-08" xfId="1407"/>
    <cellStyle name="m_REAL COST   SEKOLAH - RHESA-06  (18-12-06) FINAL VERSI - 3" xfId="1408"/>
    <cellStyle name="M-0" xfId="1409"/>
    <cellStyle name="MainDescription" xfId="1410"/>
    <cellStyle name="MARK" xfId="1411"/>
    <cellStyle name="markup" xfId="1412"/>
    <cellStyle name="Measure" xfId="1413"/>
    <cellStyle name="Millares [0]_elec" xfId="1414"/>
    <cellStyle name="Millares_elec" xfId="1415"/>
    <cellStyle name="Milliers [0]_AR1194" xfId="1416"/>
    <cellStyle name="Milliers_AR1194" xfId="1417"/>
    <cellStyle name="m-o" xfId="1418"/>
    <cellStyle name="Moneda [0]_laroux" xfId="1419"/>
    <cellStyle name="Moneda_laroux" xfId="1420"/>
    <cellStyle name="Monétaire [0]_AR1194" xfId="1421"/>
    <cellStyle name="Monétaire_AR1194" xfId="1422"/>
    <cellStyle name="n" xfId="1423"/>
    <cellStyle name="n_12 feb 2007 KIRIM BQ ELEKTRIKAL SDH CIKARANG" xfId="1424"/>
    <cellStyle name="n_KIRIM BQ MEKANIKAL SDH CIKARANG" xfId="1425"/>
    <cellStyle name="Neutral 2" xfId="1426"/>
    <cellStyle name="New Times Roman" xfId="1427"/>
    <cellStyle name="no dec" xfId="1428"/>
    <cellStyle name="Normal" xfId="0" builtinId="0"/>
    <cellStyle name="Normal - Style1" xfId="1429"/>
    <cellStyle name="Normal - Style1 2" xfId="1430"/>
    <cellStyle name="Normal - Style1_ADMINISTRASI GKN-M3" xfId="1431"/>
    <cellStyle name="Normal - Style2" xfId="1432"/>
    <cellStyle name="Normal - Style3" xfId="1433"/>
    <cellStyle name="Normal - Style4" xfId="1434"/>
    <cellStyle name="Normal - Style5" xfId="1435"/>
    <cellStyle name="Normal - Style6" xfId="1436"/>
    <cellStyle name="Normal - Style7" xfId="1437"/>
    <cellStyle name="Normal - Style8" xfId="1438"/>
    <cellStyle name="Normal 1" xfId="1439"/>
    <cellStyle name="Normal 10" xfId="1440"/>
    <cellStyle name="Normal 10 2" xfId="1441"/>
    <cellStyle name="Normal 10 3" xfId="1442"/>
    <cellStyle name="Normal 10_METODOLOGI" xfId="1443"/>
    <cellStyle name="Normal 100" xfId="1818"/>
    <cellStyle name="Normal 11" xfId="1444"/>
    <cellStyle name="Normal 12" xfId="1445"/>
    <cellStyle name="Normal 12 2" xfId="1446"/>
    <cellStyle name="Normal 12 3" xfId="1447"/>
    <cellStyle name="Normal 12_Copy of PERBAIKAN  DINIDING  DALAM GEDUNG 24 PEB OK" xfId="1448"/>
    <cellStyle name="Normal 13" xfId="1449"/>
    <cellStyle name="Normal 14" xfId="1450"/>
    <cellStyle name="Normal 14 2" xfId="1451"/>
    <cellStyle name="Normal 14 2 2" xfId="1832"/>
    <cellStyle name="Normal 14 2 3" xfId="1821"/>
    <cellStyle name="Normal 15" xfId="1452"/>
    <cellStyle name="Normal 15 2" xfId="1453"/>
    <cellStyle name="Normal 15 3" xfId="1454"/>
    <cellStyle name="Normal 15 4" xfId="1455"/>
    <cellStyle name="Normal 15 5" xfId="1456"/>
    <cellStyle name="Normal 15 6" xfId="1457"/>
    <cellStyle name="Normal 15 7" xfId="1458"/>
    <cellStyle name="Normal 16" xfId="1459"/>
    <cellStyle name="Normal 16 2" xfId="1460"/>
    <cellStyle name="Normal 17" xfId="1461"/>
    <cellStyle name="Normal 17 2" xfId="1462"/>
    <cellStyle name="Normal 17 2 2" xfId="1463"/>
    <cellStyle name="Normal 17 2 3" xfId="1464"/>
    <cellStyle name="Normal 18" xfId="1465"/>
    <cellStyle name="Normal 19" xfId="1466"/>
    <cellStyle name="Normal 19 2" xfId="1467"/>
    <cellStyle name="Normal 2" xfId="1468"/>
    <cellStyle name="Normal 2 10" xfId="1469"/>
    <cellStyle name="Normal 2 11" xfId="1842"/>
    <cellStyle name="Normal 2 2" xfId="1470"/>
    <cellStyle name="Normal 2 2 2" xfId="1471"/>
    <cellStyle name="Normal 2 2 2 2" xfId="1472"/>
    <cellStyle name="Normal 2 2 2 2 2" xfId="1473"/>
    <cellStyle name="Normal 2 2 2 2 2 2" xfId="1816"/>
    <cellStyle name="Normal 2 2 2 3" xfId="1474"/>
    <cellStyle name="Normal 2 2 3" xfId="1475"/>
    <cellStyle name="Normal 2 2 3 2" xfId="1476"/>
    <cellStyle name="Normal 2 2 3 3" xfId="1477"/>
    <cellStyle name="Normal 2 2 4" xfId="1826"/>
    <cellStyle name="Normal 2 2_ANALISA 2008" xfId="1478"/>
    <cellStyle name="Normal 2 3" xfId="1479"/>
    <cellStyle name="Normal 2 3 2" xfId="1480"/>
    <cellStyle name="Normal 2 3 2 2" xfId="1481"/>
    <cellStyle name="Normal 2 3 2 3" xfId="1482"/>
    <cellStyle name="Normal 2 3 2 4" xfId="1483"/>
    <cellStyle name="Normal 2 3 3" xfId="1484"/>
    <cellStyle name="Normal 2 3 3 2" xfId="1485"/>
    <cellStyle name="Normal 2 3 3 2 2" xfId="1486"/>
    <cellStyle name="Normal 2 3 3 3" xfId="1487"/>
    <cellStyle name="Normal 2 3 4" xfId="1488"/>
    <cellStyle name="Normal 2 3 4 2" xfId="1489"/>
    <cellStyle name="Normal 2 3 4 3" xfId="1490"/>
    <cellStyle name="Normal 2 3 5" xfId="1491"/>
    <cellStyle name="Normal 2 3 6" xfId="1492"/>
    <cellStyle name="Normal 2 3_METODOLOGI" xfId="1493"/>
    <cellStyle name="Normal 2 4" xfId="1494"/>
    <cellStyle name="Normal 2 4 2" xfId="1495"/>
    <cellStyle name="Normal 2 4 3" xfId="1496"/>
    <cellStyle name="Normal 2 5" xfId="1497"/>
    <cellStyle name="Normal 2 5 2" xfId="1498"/>
    <cellStyle name="Normal 2 5 2 2" xfId="1499"/>
    <cellStyle name="Normal 2 5 3" xfId="1500"/>
    <cellStyle name="Normal 2 5 3 2" xfId="1501"/>
    <cellStyle name="Normal 2 6" xfId="1502"/>
    <cellStyle name="Normal 2 6 2" xfId="1503"/>
    <cellStyle name="Normal 2 6 3" xfId="1504"/>
    <cellStyle name="Normal 2 6 4" xfId="1505"/>
    <cellStyle name="Normal 2 6 5" xfId="1506"/>
    <cellStyle name="Normal 2 6 6" xfId="1507"/>
    <cellStyle name="Normal 2 6 7" xfId="1508"/>
    <cellStyle name="Normal 2 7" xfId="1509"/>
    <cellStyle name="Normal 2 8" xfId="1822"/>
    <cellStyle name="Normal 2 9" xfId="1838"/>
    <cellStyle name="Normal 2_AN EE" xfId="1510"/>
    <cellStyle name="Normal 20" xfId="1511"/>
    <cellStyle name="Normal 21" xfId="1512"/>
    <cellStyle name="Normal 21 2" xfId="1513"/>
    <cellStyle name="Normal 22" xfId="1514"/>
    <cellStyle name="Normal 22 2" xfId="1515"/>
    <cellStyle name="Normal 22_METODOLOGI" xfId="1516"/>
    <cellStyle name="Normal 23" xfId="1517"/>
    <cellStyle name="Normal 24" xfId="1518"/>
    <cellStyle name="Normal 25" xfId="1519"/>
    <cellStyle name="Normal 26" xfId="1520"/>
    <cellStyle name="Normal 27" xfId="1521"/>
    <cellStyle name="Normal 28" xfId="1522"/>
    <cellStyle name="Normal 29" xfId="1523"/>
    <cellStyle name="Normal 3" xfId="1524"/>
    <cellStyle name="Normal 3 10" xfId="1525"/>
    <cellStyle name="Normal 3 2" xfId="1526"/>
    <cellStyle name="Normal 3 2 2" xfId="1527"/>
    <cellStyle name="Normal 3 2 2 2" xfId="1528"/>
    <cellStyle name="Normal 3 2 3" xfId="1529"/>
    <cellStyle name="Normal 3 2 3 2" xfId="1530"/>
    <cellStyle name="Normal 3 2 3 3" xfId="1531"/>
    <cellStyle name="Normal 3 2 4" xfId="1532"/>
    <cellStyle name="Normal 3 2 5" xfId="1829"/>
    <cellStyle name="Normal 3 3" xfId="1533"/>
    <cellStyle name="Normal 3 4" xfId="1534"/>
    <cellStyle name="Normal 3 4 2" xfId="1535"/>
    <cellStyle name="Normal 3 5" xfId="1536"/>
    <cellStyle name="Normal 3 6" xfId="1537"/>
    <cellStyle name="Normal 3 7" xfId="1538"/>
    <cellStyle name="Normal 3 8" xfId="1539"/>
    <cellStyle name="Normal 3 9" xfId="1540"/>
    <cellStyle name="Normal 3_AN ME" xfId="1541"/>
    <cellStyle name="Normal 30" xfId="1542"/>
    <cellStyle name="Normal 31" xfId="1543"/>
    <cellStyle name="Normal 31 2" xfId="1544"/>
    <cellStyle name="Normal 32" xfId="1545"/>
    <cellStyle name="Normal 33" xfId="1546"/>
    <cellStyle name="Normal 34" xfId="1547"/>
    <cellStyle name="Normal 35" xfId="1548"/>
    <cellStyle name="Normal 36" xfId="1549"/>
    <cellStyle name="Normal 37" xfId="1550"/>
    <cellStyle name="Normal 38" xfId="1551"/>
    <cellStyle name="Normal 39" xfId="1552"/>
    <cellStyle name="Normal 4" xfId="1553"/>
    <cellStyle name="Normal 4 2" xfId="1554"/>
    <cellStyle name="Normal 4 2 2" xfId="1555"/>
    <cellStyle name="Normal 4 3" xfId="1556"/>
    <cellStyle name="Normal 4 3 2" xfId="1557"/>
    <cellStyle name="Normal 4 3 3" xfId="1558"/>
    <cellStyle name="Normal 4 4" xfId="1559"/>
    <cellStyle name="Normal 4 5" xfId="1560"/>
    <cellStyle name="Normal 4 5 2" xfId="1561"/>
    <cellStyle name="Normal 4 5 3" xfId="1562"/>
    <cellStyle name="Normal 4 6" xfId="1563"/>
    <cellStyle name="Normal 4 7" xfId="1824"/>
    <cellStyle name="Normal 4_ANALISA 2008" xfId="1564"/>
    <cellStyle name="Normal 40" xfId="1565"/>
    <cellStyle name="Normal 41" xfId="1566"/>
    <cellStyle name="Normal 42" xfId="1567"/>
    <cellStyle name="Normal 42 2" xfId="1568"/>
    <cellStyle name="Normal 43" xfId="1569"/>
    <cellStyle name="Normal 43 2" xfId="1570"/>
    <cellStyle name="Normal 44" xfId="1571"/>
    <cellStyle name="Normal 44 2" xfId="1572"/>
    <cellStyle name="Normal 45" xfId="1573"/>
    <cellStyle name="Normal 45 2" xfId="1574"/>
    <cellStyle name="Normal 46" xfId="1575"/>
    <cellStyle name="Normal 47" xfId="1576"/>
    <cellStyle name="Normal 48" xfId="1577"/>
    <cellStyle name="Normal 49" xfId="1578"/>
    <cellStyle name="Normal 5" xfId="1579"/>
    <cellStyle name="Normal 5 2" xfId="1580"/>
    <cellStyle name="Normal 5 3" xfId="1581"/>
    <cellStyle name="Normal 5 4" xfId="1827"/>
    <cellStyle name="Normal 50" xfId="1582"/>
    <cellStyle name="Normal 51" xfId="1583"/>
    <cellStyle name="Normal 52" xfId="1584"/>
    <cellStyle name="Normal 53" xfId="1585"/>
    <cellStyle name="Normal 54" xfId="1586"/>
    <cellStyle name="Normal 55" xfId="1587"/>
    <cellStyle name="Normal 56" xfId="1588"/>
    <cellStyle name="Normal 57" xfId="1589"/>
    <cellStyle name="Normal 58" xfId="1590"/>
    <cellStyle name="Normal 59" xfId="1591"/>
    <cellStyle name="Normal 6" xfId="1592"/>
    <cellStyle name="Normal 6 2" xfId="1593"/>
    <cellStyle name="Normal 6 3" xfId="1831"/>
    <cellStyle name="Normal 60" xfId="1594"/>
    <cellStyle name="Normal 61" xfId="1595"/>
    <cellStyle name="Normal 62" xfId="1596"/>
    <cellStyle name="Normal 63" xfId="1597"/>
    <cellStyle name="Normal 64" xfId="1598"/>
    <cellStyle name="Normal 65" xfId="1599"/>
    <cellStyle name="Normal 66" xfId="1600"/>
    <cellStyle name="Normal 67" xfId="1601"/>
    <cellStyle name="Normal 68" xfId="1602"/>
    <cellStyle name="Normal 69" xfId="1603"/>
    <cellStyle name="Normal 7" xfId="1604"/>
    <cellStyle name="Normal 7 2" xfId="1605"/>
    <cellStyle name="Normal 7 2 2" xfId="1606"/>
    <cellStyle name="Normal 7 3" xfId="1607"/>
    <cellStyle name="Normal 7 4" xfId="1608"/>
    <cellStyle name="Normal 7 5" xfId="1609"/>
    <cellStyle name="Normal 7 5 2" xfId="1610"/>
    <cellStyle name="Normal 7_ANALISA KUMPLIT" xfId="1611"/>
    <cellStyle name="Normal 70" xfId="1612"/>
    <cellStyle name="Normal 71" xfId="1613"/>
    <cellStyle name="Normal 72" xfId="1819"/>
    <cellStyle name="Normal 73" xfId="1836"/>
    <cellStyle name="Normal 74" xfId="1840"/>
    <cellStyle name="Normal 75" xfId="1846"/>
    <cellStyle name="Normal 76" xfId="1847"/>
    <cellStyle name="Normal 77" xfId="1849"/>
    <cellStyle name="Normal 78" xfId="1851"/>
    <cellStyle name="Normal 8" xfId="1614"/>
    <cellStyle name="Normal 8 2" xfId="1615"/>
    <cellStyle name="Normal 8 3" xfId="1616"/>
    <cellStyle name="Normal 9" xfId="1617"/>
    <cellStyle name="Normal 9 2" xfId="1618"/>
    <cellStyle name="Normal 9 3" xfId="1619"/>
    <cellStyle name="Normal 9_BACK UP-RMH" xfId="1620"/>
    <cellStyle name="Normal_5-ALAT" xfId="1853"/>
    <cellStyle name="Normal_ANALISA 2008" xfId="1621"/>
    <cellStyle name="Normal_ANALISA 2008 2" xfId="1815"/>
    <cellStyle name="Normal_RAB.PIYUN" xfId="1817"/>
    <cellStyle name="Normal02" xfId="1622"/>
    <cellStyle name="Normal02 2" xfId="1623"/>
    <cellStyle name="Normal1" xfId="1624"/>
    <cellStyle name="Normal2" xfId="1625"/>
    <cellStyle name="Normal3" xfId="1626"/>
    <cellStyle name="Note 2" xfId="1627"/>
    <cellStyle name="Note 2 2" xfId="1628"/>
    <cellStyle name="note 3" xfId="1629"/>
    <cellStyle name="note 4" xfId="1630"/>
    <cellStyle name="note 5" xfId="1631"/>
    <cellStyle name="note 6" xfId="1632"/>
    <cellStyle name="note 7" xfId="1633"/>
    <cellStyle name="note 8" xfId="1634"/>
    <cellStyle name="note 9" xfId="1635"/>
    <cellStyle name="Nr" xfId="1636"/>
    <cellStyle name="Num-0" xfId="1637"/>
    <cellStyle name="Œ…‹æØ‚è [0.00]_ˆ¥A‚Æ•\†‚Æ–ÚŸ" xfId="1638"/>
    <cellStyle name="Œ…‹æØ‚è_ˆ¥A‚Æ•\†‚Æ–ÚŸ" xfId="1639"/>
    <cellStyle name="Output 2" xfId="1640"/>
    <cellStyle name="Output 2 2" xfId="1641"/>
    <cellStyle name="per.style" xfId="1642"/>
    <cellStyle name="Percent" xfId="1643" builtinId="5"/>
    <cellStyle name="Percent [0]" xfId="1644"/>
    <cellStyle name="Percent [00]" xfId="1645"/>
    <cellStyle name="Percent [2]" xfId="1646"/>
    <cellStyle name="Percent 10" xfId="1647"/>
    <cellStyle name="Percent 10 2" xfId="1648"/>
    <cellStyle name="Percent 11" xfId="1649"/>
    <cellStyle name="Percent 11 2" xfId="1650"/>
    <cellStyle name="Percent 12" xfId="1651"/>
    <cellStyle name="Percent 13" xfId="1652"/>
    <cellStyle name="Percent 14" xfId="1653"/>
    <cellStyle name="Percent 15" xfId="1654"/>
    <cellStyle name="Percent 16" xfId="1823"/>
    <cellStyle name="Percent 17" xfId="1839"/>
    <cellStyle name="Percent 18" xfId="1843"/>
    <cellStyle name="Percent 19" xfId="1845"/>
    <cellStyle name="Percent 2" xfId="1655"/>
    <cellStyle name="Percent 2 2" xfId="1656"/>
    <cellStyle name="Percent 2 2 2" xfId="1657"/>
    <cellStyle name="Percent 2 2 2 2" xfId="1658"/>
    <cellStyle name="Percent 2 2 2 2 2" xfId="1659"/>
    <cellStyle name="Percent 2 2 2 2 3" xfId="1660"/>
    <cellStyle name="Percent 2 2 3" xfId="1661"/>
    <cellStyle name="Percent 2 2 4" xfId="1662"/>
    <cellStyle name="Percent 2 3" xfId="1663"/>
    <cellStyle name="Percent 2 3 2" xfId="1664"/>
    <cellStyle name="Percent 2 4" xfId="1665"/>
    <cellStyle name="Percent 2 5" xfId="1833"/>
    <cellStyle name="Percent 3" xfId="1666"/>
    <cellStyle name="Percent 3 2" xfId="1667"/>
    <cellStyle name="Percent 4" xfId="1668"/>
    <cellStyle name="Percent 4 2" xfId="1669"/>
    <cellStyle name="Percent 4 2 2" xfId="1670"/>
    <cellStyle name="Percent 5" xfId="1671"/>
    <cellStyle name="Percent 5 2" xfId="1672"/>
    <cellStyle name="Percent 6" xfId="1673"/>
    <cellStyle name="Percent 7" xfId="1674"/>
    <cellStyle name="Percent 8" xfId="1675"/>
    <cellStyle name="Percent 8 2" xfId="1676"/>
    <cellStyle name="Percent 8 2 2" xfId="1677"/>
    <cellStyle name="Percent 8 3" xfId="1678"/>
    <cellStyle name="Percent 9" xfId="1679"/>
    <cellStyle name="Percent 9 2" xfId="1680"/>
    <cellStyle name="PERCENTAGE" xfId="1681"/>
    <cellStyle name="pound_mu" xfId="1682"/>
    <cellStyle name="PrePop Currency (0)" xfId="1683"/>
    <cellStyle name="PrePop Currency (2)" xfId="1684"/>
    <cellStyle name="PrePop Units (0)" xfId="1685"/>
    <cellStyle name="PrePop Units (1)" xfId="1686"/>
    <cellStyle name="PrePop Units (2)" xfId="1687"/>
    <cellStyle name="Quantité" xfId="1688"/>
    <cellStyle name="Rate" xfId="1689"/>
    <cellStyle name="RateBold" xfId="1690"/>
    <cellStyle name="regstoresfromspecstores" xfId="1691"/>
    <cellStyle name="Reset  - Style7" xfId="1692"/>
    <cellStyle name="Result 1" xfId="1693"/>
    <cellStyle name="Result 2" xfId="1694"/>
    <cellStyle name="Result 3" xfId="1695"/>
    <cellStyle name="Result 4" xfId="1696"/>
    <cellStyle name="Result 5" xfId="1697"/>
    <cellStyle name="Result 6" xfId="1698"/>
    <cellStyle name="RevList" xfId="1699"/>
    <cellStyle name="Rp" xfId="1700"/>
    <cellStyle name="S/Titre" xfId="1701"/>
    <cellStyle name="SATU" xfId="1702"/>
    <cellStyle name="Section Title" xfId="1703"/>
    <cellStyle name="SHADEDSTORES" xfId="1704"/>
    <cellStyle name="SHADEDSTORES 2" xfId="1705"/>
    <cellStyle name="Sheet Title" xfId="1706"/>
    <cellStyle name="slo" xfId="1707"/>
    <cellStyle name="specstores" xfId="1708"/>
    <cellStyle name="Standard_laroux" xfId="1709"/>
    <cellStyle name="style" xfId="1710"/>
    <cellStyle name="Style 1" xfId="1711"/>
    <cellStyle name="Style 1 2" xfId="1712"/>
    <cellStyle name="style 2" xfId="1713"/>
    <cellStyle name="style1" xfId="1714"/>
    <cellStyle name="style2" xfId="1715"/>
    <cellStyle name="Subtitle" xfId="1716"/>
    <cellStyle name="Subtotal" xfId="1717"/>
    <cellStyle name="sum" xfId="1718"/>
    <cellStyle name="sum8" xfId="1719"/>
    <cellStyle name="Summary_back" xfId="1720"/>
    <cellStyle name="T" xfId="1721"/>
    <cellStyle name="T 2" xfId="1722"/>
    <cellStyle name="T_Book1" xfId="1723"/>
    <cellStyle name="T_Book1 2" xfId="1724"/>
    <cellStyle name="T_Book1_BQ &amp; An Pds Gdg - KIM I" xfId="1725"/>
    <cellStyle name="T_Book1_BQ &amp; An Pondasi SEP &amp; WAREHOUSE-KIM I (R-0)" xfId="1726"/>
    <cellStyle name="T_Book1_REKAP TOTAL" xfId="1727"/>
    <cellStyle name="T_Book1_REKAP TOTAL 2" xfId="1728"/>
    <cellStyle name="t_BQ_SAMEL_BNI_BEKASI_email" xfId="1729"/>
    <cellStyle name="T_RAPK FINAL DVO Pipe Rack" xfId="1730"/>
    <cellStyle name="T_RAPK FINAL DVO Pipe Rack 2" xfId="1731"/>
    <cellStyle name="TABEL HEADER" xfId="1732"/>
    <cellStyle name="Table" xfId="1733"/>
    <cellStyle name="Table  - Style6" xfId="1734"/>
    <cellStyle name="Table  - Style6 2" xfId="1735"/>
    <cellStyle name="Text Indent A" xfId="1736"/>
    <cellStyle name="Text Indent B" xfId="1737"/>
    <cellStyle name="Text Indent C" xfId="1738"/>
    <cellStyle name="th" xfId="1739"/>
    <cellStyle name="th 2" xfId="1740"/>
    <cellStyle name="þ_x001d_ð &amp;ý&amp;†ýG_x0008_€ X_x000a__x0007__x0001__x0001_" xfId="1741"/>
    <cellStyle name="þ_x001d_ð+&amp;„ý›&amp;}ý_x000b__x0008__x0011__x000b_å_x000b__x0007__x0001__x0001_" xfId="1742"/>
    <cellStyle name="þ_x001d_ð+&amp;„ý›&amp;}ý_x000b__x0008__x0011__x000b_å_x000b__x0007__x0001__x0001_?_x0002_ÿÿÿÿÿÿÿÿÿÿÿÿÿÿÿ_x0001_(_x0002_{_x000c_???ˆ_x001e_ÿÿÿÿ????_x0007_???????????????Í!Ë??????????           ?????           ?????????_x000d_?????????????????????????????????????????????????????????????????????????????????????????????????????????????????????" xfId="1743"/>
    <cellStyle name="þ_x001d_ð+&amp;„ý›&amp;}ý_x000b__x0008__x0011__x000b_å_x000b__x0007__x0001__x0001_?_x0002_ÿÿÿÿÿÿÿÿÿÿÿÿÿÿÿ_x0001_(_x0002_{_x000c_???ˆ_x001e_ÿÿÿÿ????_x0007_???????????????Í!Ë??????????           ?????           ?????????_x000d_????????????????????????????????????????????????????????????????????????????????????????????????????????????????????? 1" xfId="1744"/>
    <cellStyle name="Title  - Style1" xfId="1745"/>
    <cellStyle name="Title 2" xfId="1746"/>
    <cellStyle name="Title Row" xfId="1747"/>
    <cellStyle name="Total 2" xfId="1748"/>
    <cellStyle name="Total 2 2" xfId="1749"/>
    <cellStyle name="Total 3" xfId="1750"/>
    <cellStyle name="totalbold" xfId="1751"/>
    <cellStyle name="TotCol - Style5" xfId="1752"/>
    <cellStyle name="TotRow - Style4" xfId="1753"/>
    <cellStyle name="TotRow - Style4 2" xfId="1754"/>
    <cellStyle name="ttt" xfId="1755"/>
    <cellStyle name="ttt 2" xfId="1756"/>
    <cellStyle name="Tusental (0)_pldt" xfId="1757"/>
    <cellStyle name="Tusental_NPV" xfId="1758"/>
    <cellStyle name="Uang Muka" xfId="1759"/>
    <cellStyle name="Undefined" xfId="1760"/>
    <cellStyle name="uni" xfId="1761"/>
    <cellStyle name="Unit" xfId="1762"/>
    <cellStyle name="User_Defined_A" xfId="1763"/>
    <cellStyle name="v" xfId="1764"/>
    <cellStyle name="Valuta (0)_pldt" xfId="1765"/>
    <cellStyle name="Valuta_NPV" xfId="1766"/>
    <cellStyle name="viet" xfId="1767"/>
    <cellStyle name="viet2" xfId="1768"/>
    <cellStyle name="viet2 2" xfId="1769"/>
    <cellStyle name="Währung [0]_Central Install 6-up" xfId="1770"/>
    <cellStyle name="Währung_Central Install 6-up" xfId="1771"/>
    <cellStyle name="Warning Text 2" xfId="1772"/>
    <cellStyle name="WHead - Style2" xfId="1773"/>
    <cellStyle name="ｳfｹBQSUM" xfId="1774"/>
    <cellStyle name="ｳfｹBQSUM(D)" xfId="1775"/>
    <cellStyle name="ｳfｹBQSUM_BQ CIVIL DENSO" xfId="1776"/>
    <cellStyle name="ハイパーリンク" xfId="1777"/>
    <cellStyle name="ｮ・､ﾁ?" xfId="1778"/>
    <cellStyle name="เครื่องหมายจุลภาค [0]_N1222H#" xfId="1779"/>
    <cellStyle name="เครื่องหมายจุลภาค_N1222H#" xfId="1780"/>
    <cellStyle name="เครื่องหมายสกุลเงิน [0]_N1222H#" xfId="1781"/>
    <cellStyle name="เครื่องหมายสกุลเงิน_N1222H#" xfId="1782"/>
    <cellStyle name="ปกติ_N1222H#" xfId="1783"/>
    <cellStyle name="똿뗦먛귟 [0.00]_PRODUCT DETAIL Q1" xfId="1784"/>
    <cellStyle name="똿뗦먛귟_PRODUCT DETAIL Q1" xfId="1785"/>
    <cellStyle name="믅됞 [0.00]_PRODUCT DETAIL Q1" xfId="1786"/>
    <cellStyle name="믅됞_PRODUCT DETAIL Q1" xfId="1787"/>
    <cellStyle name="백분율_95" xfId="1788"/>
    <cellStyle name="뷭?_BOOKSHIP" xfId="1789"/>
    <cellStyle name="쉼표 [0]_Invoice Form" xfId="1790"/>
    <cellStyle name="콤마 [0]_1202" xfId="1791"/>
    <cellStyle name="콤마_1202" xfId="1792"/>
    <cellStyle name="통화 [0]_1202" xfId="1793"/>
    <cellStyle name="통화_1202" xfId="1794"/>
    <cellStyle name="표준_(정보부문)월별인원계획" xfId="1795"/>
    <cellStyle name="一般_17 JAN" xfId="1796"/>
    <cellStyle name="千分位[0]_17 JAN" xfId="1797"/>
    <cellStyle name="千分位_17 JAN" xfId="1798"/>
    <cellStyle name="未定義" xfId="1799"/>
    <cellStyle name="桁区切り [0.00]_BCD Electrical Subcon Eva_011212" xfId="1800"/>
    <cellStyle name="桁区切り_ARU_CPP" xfId="1801"/>
    <cellStyle name="桁蟻唇Ｆ [0.00]_・拶・表紙・剖次" xfId="1802"/>
    <cellStyle name="桁蟻唇Ｆ_・拶・表紙・剖次" xfId="1803"/>
    <cellStyle name="標準_1号用紙 (2)" xfId="1804"/>
    <cellStyle name="脱浦 [0.00]_・拶・表紙・剖次" xfId="1805"/>
    <cellStyle name="脱浦_・拶・表紙・剖次" xfId="1806"/>
    <cellStyle name="行レベル_1_Instr Train I BTG Schedule" xfId="1807"/>
    <cellStyle name="表示済みのハイパーリンク" xfId="1808"/>
    <cellStyle name="貨幣 [0]_17 JAN" xfId="1809"/>
    <cellStyle name="貨幣_17 JAN" xfId="1810"/>
    <cellStyle name="通貨 [0.00]_AECI 見積もり概要" xfId="1811"/>
    <cellStyle name="通貨_AECI 見積もり概要" xfId="1812"/>
    <cellStyle name="非表示" xfId="1813"/>
    <cellStyle name="馬表旨" xfId="18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55</xdr:row>
      <xdr:rowOff>142775</xdr:rowOff>
    </xdr:from>
    <xdr:ext cx="184731" cy="27282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10728325" y="13903960"/>
          <a:ext cx="184785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NDER%202015\LPSE%20BADUNG%202015\jaling%20canggu%20PN%2031%20maret\RAB%20jaling%20Cangg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01\admin\My%2520Documents\Rab\Rab%2520Usulan\Rab%2520pusk.%2520banjar%2520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RAB\Rab%20Konsultan\My%20Documents\RAB\Rab%20Sekolah\Rab%20SMAN%201%20Kuta%20Utar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BPPTD%2520BALI/Kelas/HPS-STR-KELA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520Document/PAK%2520MAN%2520MUL/DED-Tabanan/RAB%2520FINAL%2520BPMD%2520TABANAN/RAB%2520FINAL%2520BPMD%2520TABAN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TENDER%2520ULANG/USAHA-KOTA2006/14%2520OE%2520PLP-2006-Seles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DOCUME~1/ISHAK/LOCALS~1/Temp/Rar$DI00.234/OE%2520Pemagaran%2520Kantor%2520Tempat%2520Kerja%2520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b%20kantin%20diklat%20g%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PUJAWAN/RAB%2520PUSKESMAS%252028-11-201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Penawaran%2520Lelang%25202005/A.4.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d\Documents%2520and%2520Settings\Ower\My%2520Documents\RAB08\RAB%2520DPR%2520GIANYAR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PROYEK%25202012/Gambar%252020%2520Desa%2520Kec.%2520Mengwi/RAB/RAB-NEW/ANALISA%25202012-untuk%2520KUtsel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2009/siring%25202009/OE%2520JALAN%2520LINGKUNGAN/TERBARU%2520REVISI%2520MULKI/Documents%2520and%2520Settings/user/My%2520Documents/RAB%2520menara%2520W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Share%2520file/Dok.%2520LPSE%2520Badung/2013/Jaling%2520Cemagi/1-bo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PROYEK%25202012/Gambar%252020%2520Desa%2520Kec.%2520Mengwi/RAB/analisa%25202013%2520Kuta%2520Selatan.%2520Perki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PROYEK%25202012/Gambar%252020%2520Desa%2520Kec.%2520Mengwi/RAB/!%2520%2520%2520puspem%25202011%2520CK/ANALISA%2520PERKIM%2520KUTSEL/5-al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2009/siring%25202009/OE%2520JALAN%2520LINGKUNGAN/TERBARU%2520REVISI%2520MULKI/Timur2003,fisik/Oe%2520Jembatan/Jembat%2520bar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4\my%2520documents\DATA%2520LAMA\My%2520Documents\Usulan\rab%2520diklat%2520giany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4\my%2520documents\My%2520Documents\RAB\RAB%2520Konsultan\rab%2520diklat%2520G.%2520Rev%25201%25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%20OE%20Pembangunan%20Gedung%20Sekolah%202006a-Selesa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Desa Canggu"/>
      <sheetName val="BOQ Desa Canggu"/>
      <sheetName val="JADWAL (2)"/>
      <sheetName val="Spek"/>
      <sheetName val="Mobilisasi"/>
      <sheetName val="Penyipar badan jalan"/>
      <sheetName val="Galian Drainase"/>
      <sheetName val="pembongkaran Paving"/>
      <sheetName val="pembongkaran beton manual"/>
      <sheetName val="Galian"/>
      <sheetName val="Timbunan"/>
      <sheetName val="Limestone"/>
      <sheetName val="Urugan"/>
      <sheetName val="paving TBL 6"/>
      <sheetName val="paving TBL 8"/>
      <sheetName val="kanstein"/>
      <sheetName val="Pas. Batu"/>
      <sheetName val="Beton K-225 "/>
      <sheetName val="Beton Mutu Rendah"/>
      <sheetName val="Beton Siklop"/>
      <sheetName val="Baja Tulangan U 24"/>
      <sheetName val="Baja Tulangan BJ 32"/>
      <sheetName val="Basic Price"/>
      <sheetName val="TKD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1">
          <cell r="F71">
            <v>400000</v>
          </cell>
        </row>
        <row r="91">
          <cell r="F91">
            <v>4000</v>
          </cell>
        </row>
      </sheetData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rab"/>
      <sheetName val="rekap"/>
      <sheetName val="cover"/>
      <sheetName val="jdwl"/>
      <sheetName val="bahan SNI"/>
      <sheetName val="Daftar Harga"/>
      <sheetName val="Daftar Upah"/>
      <sheetName val="ANALISA "/>
      <sheetName val="HARGA BAHAN (3)"/>
      <sheetName val="rek-analisa"/>
      <sheetName val="ANALISA BOW"/>
      <sheetName val="upah &amp; bahan"/>
      <sheetName val="ALAT"/>
      <sheetName val="mob-alat"/>
      <sheetName val="mob"/>
      <sheetName val="shcedule"/>
      <sheetName val="hrg sat"/>
    </sheetNames>
    <sheetDataSet>
      <sheetData sheetId="0"/>
      <sheetData sheetId="1">
        <row r="10">
          <cell r="J10">
            <v>16875</v>
          </cell>
        </row>
        <row r="56">
          <cell r="J56">
            <v>21261.5</v>
          </cell>
        </row>
        <row r="153">
          <cell r="J153">
            <v>3075738.0692500002</v>
          </cell>
        </row>
        <row r="161">
          <cell r="J161">
            <v>3690035.9679999999</v>
          </cell>
        </row>
        <row r="169">
          <cell r="J169">
            <v>3275793.5212500002</v>
          </cell>
        </row>
        <row r="193">
          <cell r="J193">
            <v>3187544.8515000003</v>
          </cell>
        </row>
        <row r="254">
          <cell r="J254">
            <v>78550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han"/>
      <sheetName val="analis"/>
      <sheetName val="rab"/>
      <sheetName val="rekap"/>
      <sheetName val="harian"/>
      <sheetName val="bhn1"/>
      <sheetName val="bhn"/>
      <sheetName val="cuaca"/>
      <sheetName val="time"/>
      <sheetName val="kwi upah"/>
      <sheetName val="kwi truck"/>
      <sheetName val="kwi bsa"/>
      <sheetName val="kwi SI"/>
      <sheetName val="kwi as"/>
      <sheetName val="kwi pr"/>
      <sheetName val="kwi ps"/>
      <sheetName val="kwi ba"/>
      <sheetName val="amprah"/>
      <sheetName val="biaya"/>
      <sheetName val="biaya 1"/>
      <sheetName val="BSA"/>
      <sheetName val="SI"/>
      <sheetName val="as"/>
      <sheetName val="pr"/>
      <sheetName val="ps"/>
      <sheetName val="ba"/>
      <sheetName val="stock"/>
      <sheetName val="ps bsa"/>
      <sheetName val="ps si"/>
      <sheetName val="ps as"/>
      <sheetName val="ps pr"/>
      <sheetName val="ps ps"/>
      <sheetName val="ps ba"/>
      <sheetName val="TK"/>
      <sheetName val="TK 1"/>
      <sheetName val="TK 2"/>
      <sheetName val="TK 3"/>
      <sheetName val="TK 4"/>
      <sheetName val="TK 5"/>
      <sheetName val="banding"/>
      <sheetName val="time kls 1"/>
      <sheetName val="ba tk"/>
      <sheetName val="cek teori"/>
      <sheetName val="resche"/>
      <sheetName val="resche (2)"/>
      <sheetName val="rab "/>
      <sheetName val="aula"/>
      <sheetName val="resche benar"/>
      <sheetName val="resche benar2"/>
      <sheetName val="cek teori (2)"/>
      <sheetName val="retime"/>
      <sheetName val="m1"/>
      <sheetName val="m2"/>
      <sheetName val="m3"/>
      <sheetName val="m4"/>
      <sheetName val="bl1"/>
      <sheetName val="m5"/>
      <sheetName val="m6"/>
      <sheetName val="m7"/>
      <sheetName val="m8a"/>
      <sheetName val="bl2a"/>
      <sheetName val="m9a"/>
      <sheetName val="m10a"/>
      <sheetName val="m11a"/>
      <sheetName val="m12"/>
      <sheetName val="bl3"/>
      <sheetName val="m13"/>
      <sheetName val="m14"/>
      <sheetName val="m15"/>
      <sheetName val="m8"/>
      <sheetName val="bl2"/>
      <sheetName val="m9"/>
      <sheetName val="m10"/>
      <sheetName val="m11"/>
      <sheetName val="upah"/>
      <sheetName val="absen"/>
      <sheetName val="ANALISA"/>
      <sheetName val="Upah&amp;Bahan"/>
      <sheetName val="ANALISA SNI'07(ubh bgsting)"/>
      <sheetName val="Uph&amp;bhn"/>
      <sheetName val="Reservoir"/>
      <sheetName val="Material"/>
      <sheetName val="LOADDAT"/>
      <sheetName val="BAG-2"/>
      <sheetName val="ANALISA SNI'13 "/>
      <sheetName val="boq"/>
      <sheetName val="bau"/>
      <sheetName val="GAJI"/>
      <sheetName val="Harga"/>
      <sheetName val="Daftar harga"/>
      <sheetName val="Basic"/>
      <sheetName val="Quarry"/>
      <sheetName val="Umum"/>
      <sheetName val="Basicprice"/>
      <sheetName val="Pipe"/>
      <sheetName val="ANALISA BANGLI"/>
      <sheetName val="UPAH &amp; BAHAN"/>
      <sheetName val="Harga Dasar"/>
      <sheetName val="ub"/>
      <sheetName val="BAHAN 2011"/>
      <sheetName val="UPAH SNI"/>
      <sheetName val="CH"/>
      <sheetName val="HSD_Alat"/>
      <sheetName val="HSD_Bahan"/>
      <sheetName val="HSD_Upah"/>
      <sheetName val="RINGKASAN"/>
      <sheetName val="UMR"/>
      <sheetName val="A+Supl."/>
      <sheetName val="UPAH DAN BAHAN"/>
      <sheetName val="FORM X COST"/>
      <sheetName val="HARGA BAHAN"/>
      <sheetName val="ANALISA TAMBAHAN"/>
      <sheetName val="DAF-1"/>
      <sheetName val="H.Satuan"/>
      <sheetName val="Daf 1"/>
      <sheetName val="LO"/>
      <sheetName val="REF.ONLY"/>
      <sheetName val="name"/>
      <sheetName val="7"/>
      <sheetName val="3-DIV4"/>
      <sheetName val="3-DIV2"/>
      <sheetName val="DAFTAR UPAH"/>
      <sheetName val="bahan 2004"/>
      <sheetName val="HB "/>
      <sheetName val="Harsat Upah"/>
      <sheetName val="DAF-2"/>
      <sheetName val="Analisa Harga Satuan"/>
    </sheetNames>
    <sheetDataSet>
      <sheetData sheetId="0" refreshError="1"/>
      <sheetData sheetId="1" refreshError="1"/>
      <sheetData sheetId="2" refreshError="1">
        <row r="10">
          <cell r="J10">
            <v>15912.5</v>
          </cell>
        </row>
        <row r="15">
          <cell r="J15">
            <v>53365</v>
          </cell>
        </row>
        <row r="19">
          <cell r="J19">
            <v>5912.5</v>
          </cell>
        </row>
        <row r="32">
          <cell r="J32">
            <v>135237.5</v>
          </cell>
        </row>
        <row r="59">
          <cell r="J59">
            <v>466492.5</v>
          </cell>
        </row>
        <row r="75">
          <cell r="J75">
            <v>15144.35</v>
          </cell>
        </row>
        <row r="82">
          <cell r="J82">
            <v>7808.5</v>
          </cell>
        </row>
        <row r="103">
          <cell r="J103">
            <v>326110</v>
          </cell>
        </row>
        <row r="152">
          <cell r="J152">
            <v>1959047.96</v>
          </cell>
        </row>
        <row r="200">
          <cell r="J200">
            <v>2515771.6399999997</v>
          </cell>
        </row>
        <row r="224">
          <cell r="J224">
            <v>1868688.2</v>
          </cell>
        </row>
        <row r="242">
          <cell r="J242">
            <v>62380</v>
          </cell>
        </row>
        <row r="269">
          <cell r="J269">
            <v>117099.5</v>
          </cell>
        </row>
        <row r="279">
          <cell r="J279">
            <v>46942.5</v>
          </cell>
        </row>
        <row r="296">
          <cell r="J296">
            <v>2342100</v>
          </cell>
        </row>
        <row r="315">
          <cell r="J315">
            <v>19915</v>
          </cell>
        </row>
        <row r="324">
          <cell r="J324">
            <v>33623</v>
          </cell>
        </row>
        <row r="332">
          <cell r="J332">
            <v>3389750</v>
          </cell>
        </row>
        <row r="339">
          <cell r="J339">
            <v>316877</v>
          </cell>
        </row>
        <row r="348">
          <cell r="J348">
            <v>179450</v>
          </cell>
        </row>
        <row r="358">
          <cell r="J358">
            <v>172930</v>
          </cell>
        </row>
        <row r="378">
          <cell r="J378">
            <v>102593</v>
          </cell>
        </row>
        <row r="388">
          <cell r="J388">
            <v>5938.45</v>
          </cell>
        </row>
        <row r="398">
          <cell r="J398">
            <v>15919.5</v>
          </cell>
        </row>
        <row r="407">
          <cell r="J407">
            <v>12389</v>
          </cell>
        </row>
        <row r="417">
          <cell r="J417">
            <v>30370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 HPS KELAS"/>
      <sheetName val="HPS KELAS"/>
      <sheetName val="BAHAN"/>
      <sheetName val="Analisa SNI"/>
      <sheetName val="AHS Mobilasi dan TC"/>
      <sheetName val="Perhitungan Pembesian"/>
      <sheetName val="Back Up"/>
      <sheetName val="tiang pancang"/>
    </sheetNames>
    <sheetDataSet>
      <sheetData sheetId="0"/>
      <sheetData sheetId="1"/>
      <sheetData sheetId="2">
        <row r="5">
          <cell r="D5" t="str">
            <v>J E N I S</v>
          </cell>
          <cell r="E5" t="str">
            <v>HARGA                                                               UPAH                                                     ( Rp )</v>
          </cell>
        </row>
        <row r="8">
          <cell r="D8" t="str">
            <v>B A H A N</v>
          </cell>
        </row>
        <row r="9">
          <cell r="D9" t="str">
            <v>Pekerja</v>
          </cell>
          <cell r="E9">
            <v>80000</v>
          </cell>
        </row>
        <row r="10">
          <cell r="D10" t="str">
            <v>Tukang Batu</v>
          </cell>
          <cell r="E10">
            <v>90000</v>
          </cell>
        </row>
        <row r="11">
          <cell r="D11" t="str">
            <v>Tukang Besi</v>
          </cell>
          <cell r="E11">
            <v>90000</v>
          </cell>
        </row>
        <row r="12">
          <cell r="D12" t="str">
            <v>Tukang Besi Konstruksi</v>
          </cell>
          <cell r="E12">
            <v>90000</v>
          </cell>
        </row>
        <row r="13">
          <cell r="D13" t="str">
            <v>Tukang Cat</v>
          </cell>
          <cell r="E13">
            <v>90000</v>
          </cell>
        </row>
        <row r="14">
          <cell r="D14" t="str">
            <v>Tukang Gali</v>
          </cell>
          <cell r="E14">
            <v>80000</v>
          </cell>
        </row>
        <row r="15">
          <cell r="D15" t="str">
            <v>Tukang Kayu</v>
          </cell>
          <cell r="E15">
            <v>90000</v>
          </cell>
        </row>
        <row r="16">
          <cell r="D16" t="str">
            <v>Tukang Las Konstruksi</v>
          </cell>
          <cell r="E16">
            <v>90000</v>
          </cell>
        </row>
        <row r="17">
          <cell r="D17" t="str">
            <v>Tukang Las Biasa</v>
          </cell>
          <cell r="E17">
            <v>50000</v>
          </cell>
        </row>
        <row r="18">
          <cell r="D18" t="str">
            <v>Kepala Tukang</v>
          </cell>
          <cell r="E18">
            <v>95000</v>
          </cell>
        </row>
        <row r="19">
          <cell r="D19" t="str">
            <v>Instalatur Listrik</v>
          </cell>
          <cell r="E19">
            <v>75000</v>
          </cell>
        </row>
        <row r="20">
          <cell r="D20" t="str">
            <v>Asisten Instalatur Listrik</v>
          </cell>
          <cell r="E20">
            <v>50000</v>
          </cell>
        </row>
        <row r="21">
          <cell r="D21" t="str">
            <v>Tukang Pipa</v>
          </cell>
          <cell r="E21">
            <v>90000</v>
          </cell>
        </row>
        <row r="22">
          <cell r="D22" t="str">
            <v>Mandor</v>
          </cell>
          <cell r="E22">
            <v>105000</v>
          </cell>
        </row>
        <row r="25">
          <cell r="D25" t="str">
            <v>B A H A N</v>
          </cell>
        </row>
        <row r="26">
          <cell r="D26" t="str">
            <v>Air</v>
          </cell>
          <cell r="E26">
            <v>75</v>
          </cell>
        </row>
        <row r="27">
          <cell r="D27" t="str">
            <v>Alat Bantu</v>
          </cell>
          <cell r="E27">
            <v>4000</v>
          </cell>
        </row>
        <row r="28">
          <cell r="D28" t="str">
            <v>Ampelas</v>
          </cell>
          <cell r="E28">
            <v>50000</v>
          </cell>
        </row>
        <row r="29">
          <cell r="D29" t="str">
            <v>Atap genteng Metal polos</v>
          </cell>
          <cell r="E29">
            <v>40000</v>
          </cell>
        </row>
        <row r="30">
          <cell r="D30" t="str">
            <v>Bata Merah</v>
          </cell>
          <cell r="E30">
            <v>350</v>
          </cell>
        </row>
        <row r="31">
          <cell r="D31" t="str">
            <v>Batu Apung</v>
          </cell>
          <cell r="E31">
            <v>25000</v>
          </cell>
        </row>
        <row r="32">
          <cell r="D32" t="str">
            <v>Batu belah 10 cm/15 cm</v>
          </cell>
          <cell r="E32">
            <v>250000</v>
          </cell>
        </row>
        <row r="33">
          <cell r="D33" t="str">
            <v>Batu Belah hitam</v>
          </cell>
          <cell r="E33">
            <v>210000</v>
          </cell>
        </row>
        <row r="34">
          <cell r="D34" t="str">
            <v>Batu Split 1/2 cm</v>
          </cell>
          <cell r="E34">
            <v>247500.00000000003</v>
          </cell>
        </row>
        <row r="35">
          <cell r="D35" t="str">
            <v>Batu Split 2/3 cm</v>
          </cell>
          <cell r="E35">
            <v>325000</v>
          </cell>
        </row>
        <row r="36">
          <cell r="D36" t="str">
            <v>Batu Split 3/5 cm</v>
          </cell>
          <cell r="E36">
            <v>325000</v>
          </cell>
        </row>
        <row r="37">
          <cell r="D37" t="str">
            <v>Batu Candi</v>
          </cell>
          <cell r="E37">
            <v>200000</v>
          </cell>
        </row>
        <row r="38">
          <cell r="D38" t="str">
            <v>Batu Muka Palimanan</v>
          </cell>
          <cell r="E38">
            <v>100000</v>
          </cell>
        </row>
        <row r="39">
          <cell r="D39" t="str">
            <v>Batu Kerikil</v>
          </cell>
          <cell r="E39">
            <v>210000</v>
          </cell>
        </row>
        <row r="40">
          <cell r="D40" t="str">
            <v>Batu Koral</v>
          </cell>
          <cell r="E40">
            <v>285000</v>
          </cell>
        </row>
        <row r="41">
          <cell r="D41" t="str">
            <v>Batu Paras</v>
          </cell>
          <cell r="E41">
            <v>85000</v>
          </cell>
        </row>
        <row r="42">
          <cell r="D42" t="str">
            <v>Besi beton ulir</v>
          </cell>
          <cell r="E42">
            <v>8500</v>
          </cell>
        </row>
        <row r="43">
          <cell r="D43" t="str">
            <v>Besi beton polos</v>
          </cell>
          <cell r="E43">
            <v>8500</v>
          </cell>
        </row>
        <row r="44">
          <cell r="D44" t="str">
            <v>Besi plat baja</v>
          </cell>
          <cell r="E44">
            <v>10450</v>
          </cell>
        </row>
        <row r="45">
          <cell r="D45" t="str">
            <v>Besi Profil</v>
          </cell>
          <cell r="E45">
            <v>10450</v>
          </cell>
        </row>
        <row r="46">
          <cell r="D46" t="str">
            <v>Besi Profil WF</v>
          </cell>
          <cell r="E46">
            <v>10450</v>
          </cell>
        </row>
        <row r="47">
          <cell r="D47" t="str">
            <v>Besi siku</v>
          </cell>
          <cell r="E47">
            <v>10450</v>
          </cell>
        </row>
        <row r="48">
          <cell r="D48" t="str">
            <v>Besi strip tebal 5 mm</v>
          </cell>
          <cell r="E48">
            <v>11000</v>
          </cell>
        </row>
        <row r="49">
          <cell r="D49" t="str">
            <v>Closed jongkok</v>
          </cell>
          <cell r="E49">
            <v>170000</v>
          </cell>
        </row>
        <row r="50">
          <cell r="D50" t="str">
            <v>Cat Tembok</v>
          </cell>
          <cell r="E50">
            <v>20000</v>
          </cell>
        </row>
        <row r="51">
          <cell r="D51" t="str">
            <v>Cat Antara</v>
          </cell>
          <cell r="E51">
            <v>25000</v>
          </cell>
        </row>
        <row r="52">
          <cell r="D52" t="str">
            <v>Cat Genteng</v>
          </cell>
          <cell r="E52">
            <v>25000</v>
          </cell>
        </row>
        <row r="53">
          <cell r="D53" t="str">
            <v>Cat Taman</v>
          </cell>
          <cell r="E53">
            <v>40000</v>
          </cell>
        </row>
        <row r="54">
          <cell r="D54" t="str">
            <v>Cat Dasar</v>
          </cell>
          <cell r="E54">
            <v>17900</v>
          </cell>
        </row>
        <row r="55">
          <cell r="D55" t="str">
            <v>Cat Kayu</v>
          </cell>
          <cell r="E55">
            <v>30000</v>
          </cell>
        </row>
        <row r="56">
          <cell r="D56" t="str">
            <v>Cat Meni</v>
          </cell>
          <cell r="E56">
            <v>17000</v>
          </cell>
        </row>
        <row r="57">
          <cell r="D57" t="str">
            <v>Cat Meni besi</v>
          </cell>
          <cell r="E57">
            <v>20000</v>
          </cell>
        </row>
        <row r="58">
          <cell r="D58" t="str">
            <v>Cat Penutup</v>
          </cell>
          <cell r="E58">
            <v>35000</v>
          </cell>
        </row>
        <row r="59">
          <cell r="D59" t="str">
            <v>Cat Besi</v>
          </cell>
          <cell r="E59">
            <v>35000</v>
          </cell>
        </row>
        <row r="60">
          <cell r="D60" t="str">
            <v>Dempul</v>
          </cell>
          <cell r="E60">
            <v>11300</v>
          </cell>
        </row>
        <row r="61">
          <cell r="D61" t="str">
            <v>Dempul Jadi</v>
          </cell>
          <cell r="E61">
            <v>25000</v>
          </cell>
        </row>
        <row r="62">
          <cell r="D62" t="str">
            <v>Engsel pintu</v>
          </cell>
          <cell r="E62">
            <v>8500</v>
          </cell>
        </row>
        <row r="63">
          <cell r="D63" t="str">
            <v>Engsel jendela</v>
          </cell>
          <cell r="E63">
            <v>7500</v>
          </cell>
        </row>
        <row r="64">
          <cell r="D64" t="str">
            <v>Grendel jendela</v>
          </cell>
          <cell r="E64">
            <v>4200</v>
          </cell>
        </row>
        <row r="65">
          <cell r="D65" t="str">
            <v>Genteng Plentong</v>
          </cell>
          <cell r="E65">
            <v>1000</v>
          </cell>
        </row>
        <row r="66">
          <cell r="D66" t="str">
            <v>Hak angin jendela</v>
          </cell>
          <cell r="E66">
            <v>1500</v>
          </cell>
        </row>
        <row r="67">
          <cell r="D67" t="str">
            <v>Dolken Kayu Kelas III Ø 8 - 10/400 cm</v>
          </cell>
          <cell r="E67">
            <v>24000</v>
          </cell>
        </row>
        <row r="68">
          <cell r="D68" t="str">
            <v>Karpus Genteng Plentong</v>
          </cell>
          <cell r="E68">
            <v>2500</v>
          </cell>
        </row>
        <row r="69">
          <cell r="D69" t="str">
            <v>Kabel NYY 2,5 mm ( 2 x 2,5 )</v>
          </cell>
          <cell r="E69">
            <v>7500</v>
          </cell>
        </row>
        <row r="70">
          <cell r="D70" t="str">
            <v>Kabel NYY 2,5 mm ( 3 x 2,5 )</v>
          </cell>
          <cell r="E70">
            <v>10000</v>
          </cell>
        </row>
        <row r="71">
          <cell r="D71" t="str">
            <v>Kaca Polos Tebal 5 mm</v>
          </cell>
          <cell r="E71">
            <v>130000</v>
          </cell>
        </row>
        <row r="72">
          <cell r="D72" t="str">
            <v>Kanstin</v>
          </cell>
          <cell r="E72">
            <v>25000</v>
          </cell>
        </row>
        <row r="73">
          <cell r="D73" t="str">
            <v>Kawat Beton</v>
          </cell>
          <cell r="E73">
            <v>13000</v>
          </cell>
        </row>
        <row r="74">
          <cell r="D74" t="str">
            <v>Kawat Duri</v>
          </cell>
          <cell r="E74">
            <v>1500</v>
          </cell>
        </row>
        <row r="75">
          <cell r="D75" t="str">
            <v>Kawat las listrik</v>
          </cell>
          <cell r="E75">
            <v>20000</v>
          </cell>
        </row>
        <row r="76">
          <cell r="D76" t="str">
            <v>Kayu kelas II (balok)</v>
          </cell>
          <cell r="E76">
            <v>7000000</v>
          </cell>
        </row>
        <row r="77">
          <cell r="D77" t="str">
            <v>Kayu Kelas II (Papan)</v>
          </cell>
          <cell r="E77">
            <v>7500000</v>
          </cell>
        </row>
        <row r="78">
          <cell r="D78" t="str">
            <v>Kayu Kelas III (Balok)</v>
          </cell>
          <cell r="E78">
            <v>6000000</v>
          </cell>
        </row>
        <row r="79">
          <cell r="D79" t="str">
            <v>Kayu kelas III (papan)</v>
          </cell>
          <cell r="E79">
            <v>6500000</v>
          </cell>
        </row>
        <row r="80">
          <cell r="D80" t="str">
            <v>Kayu Acuan (Balok)</v>
          </cell>
          <cell r="E80">
            <v>3125000</v>
          </cell>
        </row>
        <row r="81">
          <cell r="D81" t="str">
            <v>Kayu Acuan (Papan)</v>
          </cell>
          <cell r="E81">
            <v>3300000</v>
          </cell>
        </row>
        <row r="82">
          <cell r="D82" t="str">
            <v>Kran Air Ø 3/4"</v>
          </cell>
          <cell r="E82">
            <v>25000</v>
          </cell>
        </row>
        <row r="83">
          <cell r="D83" t="str">
            <v>Kuas</v>
          </cell>
          <cell r="E83">
            <v>7500</v>
          </cell>
        </row>
        <row r="84">
          <cell r="D84" t="str">
            <v>Kunci Tanam biasa</v>
          </cell>
          <cell r="E84">
            <v>156000</v>
          </cell>
        </row>
        <row r="85">
          <cell r="D85" t="str">
            <v>Kunci tanam kamar mandi</v>
          </cell>
          <cell r="E85">
            <v>71500</v>
          </cell>
        </row>
        <row r="86">
          <cell r="D86" t="str">
            <v>Keramik 20/20 warna</v>
          </cell>
          <cell r="E86">
            <v>60000</v>
          </cell>
        </row>
        <row r="87">
          <cell r="D87" t="str">
            <v>Keramik 30/30</v>
          </cell>
          <cell r="E87">
            <v>65000</v>
          </cell>
        </row>
        <row r="88">
          <cell r="D88" t="str">
            <v>Lampu Pijar 25 Watt +Ftting</v>
          </cell>
          <cell r="E88">
            <v>60000</v>
          </cell>
        </row>
        <row r="89">
          <cell r="D89" t="str">
            <v>Lampu SL 18 watt + Fitting</v>
          </cell>
          <cell r="E89">
            <v>50000</v>
          </cell>
        </row>
        <row r="90">
          <cell r="D90" t="str">
            <v>Lampu SL 11 watt + Fitting</v>
          </cell>
          <cell r="E90">
            <v>35000</v>
          </cell>
        </row>
        <row r="91">
          <cell r="D91" t="str">
            <v>Lampu sport 100 watt lengkap</v>
          </cell>
          <cell r="E91">
            <v>450000</v>
          </cell>
        </row>
        <row r="92">
          <cell r="D92" t="str">
            <v>Lampu TL = 1 x 20 Watt Lengkap</v>
          </cell>
          <cell r="E92">
            <v>45000</v>
          </cell>
        </row>
        <row r="93">
          <cell r="D93" t="str">
            <v>Lampu TL = 2 x 20 Watt Lengkap</v>
          </cell>
          <cell r="E93">
            <v>85000</v>
          </cell>
        </row>
        <row r="94">
          <cell r="D94" t="str">
            <v>Lampu  down light capsul 18 watt</v>
          </cell>
          <cell r="E94">
            <v>85000</v>
          </cell>
        </row>
        <row r="95">
          <cell r="D95" t="str">
            <v>Lis Kayu Profil Uk. 4 x 4 cm</v>
          </cell>
          <cell r="E95">
            <v>3000</v>
          </cell>
        </row>
        <row r="96">
          <cell r="D96" t="str">
            <v>Lem Kayu</v>
          </cell>
          <cell r="E96">
            <v>25000</v>
          </cell>
        </row>
        <row r="97">
          <cell r="D97" t="str">
            <v>Minyak Bekisting</v>
          </cell>
          <cell r="E97">
            <v>7500</v>
          </cell>
        </row>
        <row r="98">
          <cell r="D98" t="str">
            <v>Minyak Cat</v>
          </cell>
          <cell r="E98">
            <v>7800</v>
          </cell>
        </row>
        <row r="99">
          <cell r="D99" t="str">
            <v>Minyak Pelumas</v>
          </cell>
          <cell r="E99">
            <v>25000</v>
          </cell>
        </row>
        <row r="100">
          <cell r="D100" t="str">
            <v>Minyak solar industri</v>
          </cell>
          <cell r="E100">
            <v>5400</v>
          </cell>
        </row>
        <row r="101">
          <cell r="D101" t="str">
            <v>Metal zincalume</v>
          </cell>
          <cell r="E101">
            <v>15000</v>
          </cell>
        </row>
        <row r="102">
          <cell r="D102" t="str">
            <v>Nok genteng metal model C</v>
          </cell>
          <cell r="E102">
            <v>67500</v>
          </cell>
        </row>
        <row r="103">
          <cell r="D103" t="str">
            <v>Paku 1 cm - 2,5 cm</v>
          </cell>
          <cell r="E103">
            <v>18000</v>
          </cell>
        </row>
        <row r="104">
          <cell r="D104" t="str">
            <v>Paku 12 cm</v>
          </cell>
          <cell r="E104">
            <v>18000</v>
          </cell>
        </row>
        <row r="105">
          <cell r="D105" t="str">
            <v>Paku 5 cm - 10 cm</v>
          </cell>
          <cell r="E105">
            <v>20000</v>
          </cell>
        </row>
        <row r="106">
          <cell r="D106" t="str">
            <v>Paku 5 cm - 12 cm</v>
          </cell>
          <cell r="E106">
            <v>14500</v>
          </cell>
        </row>
        <row r="107">
          <cell r="D107" t="str">
            <v>Paku 5 cm - 7 cm</v>
          </cell>
          <cell r="E107">
            <v>20000</v>
          </cell>
        </row>
        <row r="108">
          <cell r="D108" t="str">
            <v>Paku 7 cm - 10 cm</v>
          </cell>
          <cell r="E108">
            <v>20000</v>
          </cell>
        </row>
        <row r="109">
          <cell r="D109" t="str">
            <v>Paku anti karat</v>
          </cell>
          <cell r="E109">
            <v>500</v>
          </cell>
        </row>
        <row r="110">
          <cell r="D110" t="str">
            <v>Paku Biasa ½" - 1"</v>
          </cell>
          <cell r="E110">
            <v>20000</v>
          </cell>
        </row>
        <row r="111">
          <cell r="D111" t="str">
            <v>Paku Biasa ½" - 1" atau Sekrup</v>
          </cell>
          <cell r="E111">
            <v>20000</v>
          </cell>
        </row>
        <row r="112">
          <cell r="D112" t="str">
            <v>Paku Biasa 1/2" - 1"</v>
          </cell>
          <cell r="E112">
            <v>20000</v>
          </cell>
        </row>
        <row r="113">
          <cell r="D113" t="str">
            <v>Paku Biasa 2" - 5"</v>
          </cell>
          <cell r="E113">
            <v>20000</v>
          </cell>
        </row>
        <row r="114">
          <cell r="D114" t="str">
            <v>Paku Hak Panjang 15 cm</v>
          </cell>
          <cell r="E114">
            <v>18000</v>
          </cell>
        </row>
        <row r="115">
          <cell r="D115" t="str">
            <v>Paku Pancing 60 x 230</v>
          </cell>
          <cell r="E115">
            <v>20000</v>
          </cell>
        </row>
        <row r="116">
          <cell r="D116" t="str">
            <v>Paku skrup 1 cm - 2,5 cm</v>
          </cell>
          <cell r="E116">
            <v>100</v>
          </cell>
        </row>
        <row r="117">
          <cell r="D117" t="str">
            <v>Paku skrup 10 cm</v>
          </cell>
          <cell r="E117">
            <v>25000</v>
          </cell>
        </row>
        <row r="118">
          <cell r="D118" t="str">
            <v>Paku Skrup 3.5"</v>
          </cell>
          <cell r="E118">
            <v>225</v>
          </cell>
        </row>
        <row r="119">
          <cell r="D119" t="str">
            <v>Paku/skrup 5 cm</v>
          </cell>
          <cell r="E119">
            <v>20000</v>
          </cell>
        </row>
        <row r="120">
          <cell r="D120" t="str">
            <v>Paku Triplek</v>
          </cell>
          <cell r="E120">
            <v>12600</v>
          </cell>
        </row>
        <row r="121">
          <cell r="D121" t="str">
            <v>Pasir Beton</v>
          </cell>
          <cell r="E121">
            <v>205000</v>
          </cell>
        </row>
        <row r="122">
          <cell r="D122" t="str">
            <v>Pasir Pasang</v>
          </cell>
          <cell r="E122">
            <v>205000</v>
          </cell>
        </row>
        <row r="123">
          <cell r="D123" t="str">
            <v>Pasir Urug</v>
          </cell>
          <cell r="E123">
            <v>160000</v>
          </cell>
        </row>
        <row r="124">
          <cell r="D124" t="str">
            <v>Besi pipa Giv</v>
          </cell>
          <cell r="E124">
            <v>21000</v>
          </cell>
        </row>
        <row r="125">
          <cell r="D125" t="str">
            <v>Paving Block Tebal 6 cm</v>
          </cell>
          <cell r="E125">
            <v>2000</v>
          </cell>
        </row>
        <row r="126">
          <cell r="D126" t="str">
            <v>Paving Block Tebal 8 cm</v>
          </cell>
          <cell r="E126">
            <v>2200</v>
          </cell>
        </row>
        <row r="127">
          <cell r="D127" t="str">
            <v>Pipa PVC Diameter 8"</v>
          </cell>
          <cell r="E127">
            <v>450000</v>
          </cell>
        </row>
        <row r="128">
          <cell r="D128" t="str">
            <v>Pipa PVC tipe AW  Ø ½"</v>
          </cell>
          <cell r="E128">
            <v>12000</v>
          </cell>
        </row>
        <row r="129">
          <cell r="D129" t="str">
            <v>Pipa PVC tipe AW  Ø ¾"</v>
          </cell>
          <cell r="E129">
            <v>14160</v>
          </cell>
        </row>
        <row r="130">
          <cell r="D130" t="str">
            <v>Pipa PVC tipe AW  Ø 1"</v>
          </cell>
          <cell r="E130">
            <v>19260</v>
          </cell>
        </row>
        <row r="131">
          <cell r="D131" t="str">
            <v>Pipa PVC tipe AW  Ø 1½"</v>
          </cell>
          <cell r="E131">
            <v>37500</v>
          </cell>
        </row>
        <row r="132">
          <cell r="D132" t="str">
            <v>Pipa PVC tipe AW  Ø 2"</v>
          </cell>
          <cell r="E132">
            <v>41760</v>
          </cell>
        </row>
        <row r="133">
          <cell r="D133" t="str">
            <v>Pipa PVC tipe AW  Ø 4"</v>
          </cell>
          <cell r="E133">
            <v>138600</v>
          </cell>
        </row>
        <row r="134">
          <cell r="D134" t="str">
            <v>Plamir kayu</v>
          </cell>
          <cell r="E134">
            <v>9500</v>
          </cell>
        </row>
        <row r="135">
          <cell r="D135" t="str">
            <v>Plamir Tembok</v>
          </cell>
          <cell r="E135">
            <v>10800</v>
          </cell>
        </row>
        <row r="136">
          <cell r="D136" t="str">
            <v>Scruw 12 - 14- 20</v>
          </cell>
          <cell r="E136">
            <v>500</v>
          </cell>
        </row>
        <row r="137">
          <cell r="D137" t="str">
            <v>Scruw 10 - 14- 16</v>
          </cell>
          <cell r="E137">
            <v>400</v>
          </cell>
        </row>
        <row r="138">
          <cell r="D138" t="str">
            <v>Saklar Double kualitas baik</v>
          </cell>
          <cell r="E138">
            <v>20000</v>
          </cell>
        </row>
        <row r="139">
          <cell r="D139" t="str">
            <v>Saklar Single kualitas baik</v>
          </cell>
          <cell r="E139">
            <v>15000</v>
          </cell>
        </row>
        <row r="140">
          <cell r="D140" t="str">
            <v>Saklar Triple kualitas baik</v>
          </cell>
          <cell r="E140">
            <v>25000</v>
          </cell>
        </row>
        <row r="141">
          <cell r="D141" t="str">
            <v>Stop Kontak</v>
          </cell>
          <cell r="E141">
            <v>28100</v>
          </cell>
        </row>
        <row r="142">
          <cell r="D142" t="str">
            <v>Stop kran Ø 1"</v>
          </cell>
          <cell r="E142">
            <v>55000</v>
          </cell>
        </row>
        <row r="143">
          <cell r="D143" t="str">
            <v>Semen Merah</v>
          </cell>
          <cell r="E143">
            <v>1700</v>
          </cell>
        </row>
        <row r="144">
          <cell r="D144" t="str">
            <v>Semen Nat</v>
          </cell>
          <cell r="E144">
            <v>1300</v>
          </cell>
        </row>
        <row r="145">
          <cell r="D145" t="str">
            <v>Semen Portland</v>
          </cell>
          <cell r="E145">
            <v>1325</v>
          </cell>
        </row>
        <row r="146">
          <cell r="D146" t="str">
            <v>Semen Warna</v>
          </cell>
          <cell r="E146">
            <v>1650</v>
          </cell>
        </row>
        <row r="147">
          <cell r="D147" t="str">
            <v>Sirtu</v>
          </cell>
          <cell r="E147">
            <v>155000</v>
          </cell>
        </row>
        <row r="148">
          <cell r="D148" t="str">
            <v>Sewa alat perakitan besi</v>
          </cell>
          <cell r="E148">
            <v>7500</v>
          </cell>
        </row>
        <row r="149">
          <cell r="D149" t="str">
            <v>Sewa alat las listrik</v>
          </cell>
          <cell r="E149">
            <v>18750</v>
          </cell>
        </row>
        <row r="150">
          <cell r="D150" t="str">
            <v>Triplek tebal 3 mm</v>
          </cell>
          <cell r="E150">
            <v>63600</v>
          </cell>
        </row>
        <row r="151">
          <cell r="D151" t="str">
            <v>Tanah urug</v>
          </cell>
          <cell r="E151">
            <v>110000</v>
          </cell>
        </row>
        <row r="152">
          <cell r="D152" t="str">
            <v>Thinner</v>
          </cell>
          <cell r="E152">
            <v>12000</v>
          </cell>
        </row>
        <row r="156">
          <cell r="E156" t="str">
            <v/>
          </cell>
        </row>
      </sheetData>
      <sheetData sheetId="3">
        <row r="489">
          <cell r="I489">
            <v>184950</v>
          </cell>
        </row>
        <row r="915">
          <cell r="I915">
            <v>1191911.5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0"/>
      <sheetName val="AAAAAAAAA"/>
      <sheetName val="Bahan"/>
      <sheetName val="Analisa"/>
      <sheetName val="REKAP "/>
      <sheetName val="RAB STUKTUR ARSITEKTUR"/>
      <sheetName val="RAB ME"/>
      <sheetName val="RAB PENATAAN"/>
      <sheetName val="volume basement"/>
      <sheetName val="volume lt 1"/>
      <sheetName val="volume lt 2"/>
      <sheetName val="vol. penataan "/>
      <sheetName val="FE "/>
    </sheetNames>
    <sheetDataSet>
      <sheetData sheetId="0"/>
      <sheetData sheetId="1"/>
      <sheetData sheetId="2">
        <row r="16">
          <cell r="F16">
            <v>14000</v>
          </cell>
        </row>
        <row r="36">
          <cell r="F36">
            <v>10000</v>
          </cell>
        </row>
        <row r="85">
          <cell r="F85">
            <v>42428.571428571435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C.1"/>
      <sheetName val="C.2"/>
      <sheetName val="C.3"/>
      <sheetName val="C.4"/>
      <sheetName val="C.5"/>
      <sheetName val="C.6"/>
      <sheetName val="C.7"/>
      <sheetName val="C.8"/>
      <sheetName val="C.9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.22"/>
      <sheetName val="C.23"/>
      <sheetName val="C.24"/>
      <sheetName val="C.25"/>
      <sheetName val="&amp;"/>
      <sheetName val="rekap-ans"/>
      <sheetName val="ANBOW-2006"/>
      <sheetName val="U&amp;B-BOW"/>
      <sheetName val="ANLBOR-2006"/>
      <sheetName val="@"/>
      <sheetName val="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C.7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Talud Anak Sungai Marwan Kelurahan Sukajawa</v>
          </cell>
        </row>
        <row r="7">
          <cell r="B7" t="str">
            <v>Lokasi</v>
          </cell>
          <cell r="E7" t="str">
            <v>:</v>
          </cell>
          <cell r="F7" t="str">
            <v>Kelurahan Sukajawa</v>
          </cell>
        </row>
        <row r="8">
          <cell r="B8" t="str">
            <v>Panjanga Rencana</v>
          </cell>
          <cell r="E8" t="str">
            <v>:</v>
          </cell>
          <cell r="F8">
            <v>40</v>
          </cell>
          <cell r="G8" t="str">
            <v>Meter</v>
          </cell>
        </row>
        <row r="9">
          <cell r="B9" t="str">
            <v>Panjang Realisasi</v>
          </cell>
          <cell r="E9" t="str">
            <v>:</v>
          </cell>
          <cell r="F9">
            <v>33</v>
          </cell>
          <cell r="G9" t="str">
            <v>Meter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pengkuran ulang</v>
          </cell>
          <cell r="H15" t="str">
            <v>Dihitung</v>
          </cell>
          <cell r="I15">
            <v>1</v>
          </cell>
          <cell r="J15" t="str">
            <v>Ls</v>
          </cell>
          <cell r="K15">
            <v>13200</v>
          </cell>
          <cell r="L15">
            <v>13200</v>
          </cell>
        </row>
        <row r="16">
          <cell r="B16">
            <v>2</v>
          </cell>
          <cell r="D16" t="str">
            <v>Pasang papan nama proyek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250000</v>
          </cell>
          <cell r="L16">
            <v>250000</v>
          </cell>
        </row>
        <row r="17">
          <cell r="B17">
            <v>3</v>
          </cell>
          <cell r="D17" t="str">
            <v>Penyediaan obat-obatan P3K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200000</v>
          </cell>
          <cell r="L17">
            <v>200000</v>
          </cell>
        </row>
        <row r="18">
          <cell r="B18">
            <v>4</v>
          </cell>
          <cell r="D18" t="str">
            <v>Dokumentasi 0 %, 50 %, dan 100 %</v>
          </cell>
          <cell r="H18" t="str">
            <v>Dihitung</v>
          </cell>
          <cell r="I18">
            <v>1</v>
          </cell>
          <cell r="J18" t="str">
            <v>Ls</v>
          </cell>
          <cell r="K18">
            <v>85000</v>
          </cell>
          <cell r="L18">
            <v>85000</v>
          </cell>
        </row>
        <row r="19">
          <cell r="B19">
            <v>5</v>
          </cell>
          <cell r="D19" t="str">
            <v>Mobilisasi dan demobilisasi</v>
          </cell>
          <cell r="H19" t="str">
            <v>Dihitung</v>
          </cell>
          <cell r="I19">
            <v>1</v>
          </cell>
          <cell r="J19" t="str">
            <v>Ls</v>
          </cell>
          <cell r="K19">
            <v>3914000</v>
          </cell>
          <cell r="L19">
            <v>3914000</v>
          </cell>
        </row>
        <row r="20">
          <cell r="D20" t="str">
            <v>SUB TOTAL   I</v>
          </cell>
          <cell r="L20">
            <v>4462200</v>
          </cell>
        </row>
        <row r="21">
          <cell r="B21" t="str">
            <v>II</v>
          </cell>
          <cell r="D21" t="str">
            <v>PEKERJAAN TALUD</v>
          </cell>
        </row>
        <row r="22">
          <cell r="B22">
            <v>1</v>
          </cell>
          <cell r="D22" t="str">
            <v>Galian tanah cadas</v>
          </cell>
          <cell r="H22" t="str">
            <v>A.5</v>
          </cell>
          <cell r="I22">
            <v>31.184999999999999</v>
          </cell>
          <cell r="J22" t="str">
            <v>M3</v>
          </cell>
          <cell r="K22">
            <v>52706</v>
          </cell>
          <cell r="L22">
            <v>1643636.61</v>
          </cell>
        </row>
        <row r="23">
          <cell r="B23">
            <v>2</v>
          </cell>
          <cell r="D23" t="str">
            <v>Pasang pipa PVC dia 1 " (wall drain) 1 M2 = 2 unit @ 80 cm</v>
          </cell>
          <cell r="I23">
            <v>13</v>
          </cell>
          <cell r="J23" t="str">
            <v>Btg</v>
          </cell>
          <cell r="K23">
            <v>16050</v>
          </cell>
          <cell r="L23">
            <v>208650</v>
          </cell>
        </row>
        <row r="24">
          <cell r="B24">
            <v>3</v>
          </cell>
          <cell r="D24" t="str">
            <v>Plesteran ban (bagian atas talud)</v>
          </cell>
          <cell r="H24" t="str">
            <v>G.50q+G.48</v>
          </cell>
          <cell r="I24">
            <v>13.2</v>
          </cell>
          <cell r="J24" t="str">
            <v>M2</v>
          </cell>
          <cell r="K24">
            <v>19133.61</v>
          </cell>
          <cell r="L24">
            <v>252563.65</v>
          </cell>
        </row>
        <row r="25">
          <cell r="B25">
            <v>4</v>
          </cell>
          <cell r="D25" t="str">
            <v>Pasang batu belah adk 1 : 4.</v>
          </cell>
          <cell r="H25" t="str">
            <v>G.32h+G.26(a)</v>
          </cell>
          <cell r="I25">
            <v>27.795000000000002</v>
          </cell>
          <cell r="J25" t="str">
            <v>M3</v>
          </cell>
          <cell r="K25">
            <v>527127.02</v>
          </cell>
          <cell r="L25">
            <v>14651495.52</v>
          </cell>
        </row>
        <row r="26">
          <cell r="D26" t="str">
            <v>SUB TOTAL   II</v>
          </cell>
          <cell r="L26">
            <v>16756345.779999999</v>
          </cell>
        </row>
        <row r="27">
          <cell r="B27" t="str">
            <v>III</v>
          </cell>
          <cell r="D27" t="str">
            <v>PEKERJAAN LAIN-LAIN</v>
          </cell>
        </row>
        <row r="28">
          <cell r="B28">
            <v>1</v>
          </cell>
          <cell r="C28">
            <v>1</v>
          </cell>
          <cell r="D28" t="str">
            <v>Finishing Proyek</v>
          </cell>
          <cell r="H28" t="str">
            <v>-</v>
          </cell>
          <cell r="I28">
            <v>1</v>
          </cell>
          <cell r="J28" t="str">
            <v>Ls</v>
          </cell>
          <cell r="K28">
            <v>600000</v>
          </cell>
          <cell r="L28">
            <v>600000</v>
          </cell>
        </row>
        <row r="29">
          <cell r="D29" t="str">
            <v>SUB TOTAL   III</v>
          </cell>
          <cell r="L29">
            <v>600000</v>
          </cell>
        </row>
        <row r="30">
          <cell r="B30" t="str">
            <v>A</v>
          </cell>
          <cell r="D30" t="str">
            <v>JUMLAH</v>
          </cell>
          <cell r="L30">
            <v>21818545.780000001</v>
          </cell>
        </row>
        <row r="31">
          <cell r="B31" t="str">
            <v>B</v>
          </cell>
          <cell r="D31" t="str">
            <v>PPN 10% x A</v>
          </cell>
          <cell r="L31">
            <v>2181854.58</v>
          </cell>
        </row>
        <row r="32">
          <cell r="B32" t="str">
            <v>C</v>
          </cell>
          <cell r="D32" t="str">
            <v>JUMLAH  (A+B)</v>
          </cell>
          <cell r="L32">
            <v>24000400.359999999</v>
          </cell>
        </row>
        <row r="33">
          <cell r="B33" t="str">
            <v>D</v>
          </cell>
          <cell r="D33" t="str">
            <v>JUMLAH DIBULATKAN</v>
          </cell>
          <cell r="L33">
            <v>24000000</v>
          </cell>
        </row>
        <row r="34">
          <cell r="N34" t="str">
            <v>REKAPITULASI RENCANA ANGGARAN BIAYA</v>
          </cell>
        </row>
        <row r="35">
          <cell r="N35" t="str">
            <v>OWNER'S ESTIMATE</v>
          </cell>
        </row>
        <row r="37">
          <cell r="N37" t="str">
            <v>Kode Paket</v>
          </cell>
          <cell r="P37" t="str">
            <v>:</v>
          </cell>
          <cell r="Q37" t="str">
            <v>C.7</v>
          </cell>
        </row>
        <row r="38">
          <cell r="N38" t="str">
            <v>Kegiatan</v>
          </cell>
          <cell r="P38" t="str">
            <v>:</v>
          </cell>
          <cell r="Q38" t="str">
            <v>Penyehatan Lingkungan Permukiman (PLP)</v>
          </cell>
        </row>
        <row r="39">
          <cell r="N39" t="str">
            <v>Pekerjaan</v>
          </cell>
          <cell r="Q39" t="str">
            <v>Pembuatan Talud Anak Sungai Marwan Kelurahan Sukajawa</v>
          </cell>
        </row>
        <row r="40">
          <cell r="N40" t="str">
            <v>Lokasi</v>
          </cell>
          <cell r="Q40" t="str">
            <v>Kelurahan Sukajawa</v>
          </cell>
        </row>
        <row r="41">
          <cell r="N41" t="str">
            <v>Panjanga Rencana</v>
          </cell>
          <cell r="Q41">
            <v>40</v>
          </cell>
          <cell r="R41" t="str">
            <v>Meter</v>
          </cell>
        </row>
        <row r="42">
          <cell r="N42" t="str">
            <v>Panjang Realisasi</v>
          </cell>
          <cell r="P42" t="str">
            <v>:</v>
          </cell>
          <cell r="Q42">
            <v>33</v>
          </cell>
          <cell r="R42" t="str">
            <v>Meter</v>
          </cell>
        </row>
        <row r="43">
          <cell r="N43" t="str">
            <v>Tahun Anggaran</v>
          </cell>
          <cell r="P43" t="str">
            <v>:</v>
          </cell>
          <cell r="Q43" t="str">
            <v>2006</v>
          </cell>
        </row>
        <row r="45">
          <cell r="N45" t="str">
            <v>NO.</v>
          </cell>
          <cell r="P45" t="str">
            <v>URAIAN  PEKERJAAN</v>
          </cell>
          <cell r="V45" t="str">
            <v>TOTAL</v>
          </cell>
        </row>
        <row r="46">
          <cell r="V46" t="str">
            <v>HARGA</v>
          </cell>
        </row>
        <row r="47">
          <cell r="V47" t="str">
            <v>(Rp)</v>
          </cell>
        </row>
        <row r="48">
          <cell r="N48" t="str">
            <v>I</v>
          </cell>
          <cell r="Q48" t="str">
            <v>PEKERJAAN PERSIAPAN</v>
          </cell>
          <cell r="V48">
            <v>4462200</v>
          </cell>
        </row>
        <row r="49">
          <cell r="N49" t="str">
            <v>II</v>
          </cell>
          <cell r="Q49" t="str">
            <v>PEKERJAAN TALUD</v>
          </cell>
          <cell r="V49">
            <v>16756345.779999999</v>
          </cell>
        </row>
        <row r="50">
          <cell r="N50" t="str">
            <v>III</v>
          </cell>
          <cell r="Q50" t="str">
            <v>PEKERJAAN LAIN-LAIN</v>
          </cell>
          <cell r="V50">
            <v>600000</v>
          </cell>
        </row>
        <row r="51">
          <cell r="Q51" t="str">
            <v>JUMLAH ( I  s/d.  III)</v>
          </cell>
          <cell r="V51">
            <v>21818545.780000001</v>
          </cell>
        </row>
        <row r="52">
          <cell r="Q52" t="str">
            <v>PPN 10%</v>
          </cell>
          <cell r="V52">
            <v>2181854.58</v>
          </cell>
        </row>
        <row r="53">
          <cell r="Q53" t="str">
            <v>TOTAL</v>
          </cell>
          <cell r="V53">
            <v>24000400.359999999</v>
          </cell>
        </row>
        <row r="54">
          <cell r="Q54" t="str">
            <v>DIBULATKAN</v>
          </cell>
          <cell r="V54">
            <v>24000000</v>
          </cell>
        </row>
        <row r="56">
          <cell r="O56" t="str">
            <v>Terbilang</v>
          </cell>
          <cell r="P56" t="str">
            <v>:</v>
          </cell>
          <cell r="Q56" t="str">
            <v>Dua Puluh Empat Juta Rupiah</v>
          </cell>
        </row>
        <row r="59">
          <cell r="S59" t="str">
            <v>Bandar Lampung,  ...................... 2006</v>
          </cell>
        </row>
        <row r="60">
          <cell r="N60" t="str">
            <v>MENGETAHUI :</v>
          </cell>
        </row>
        <row r="61">
          <cell r="N61" t="str">
            <v>PEJABAT PEMBUAT KOMITMEN/ PEMIMPIN KEGIATAN</v>
          </cell>
          <cell r="S61" t="str">
            <v>PANITIA PENGADAAN JASA KONSTRUKSI</v>
          </cell>
        </row>
        <row r="62">
          <cell r="S62" t="str">
            <v>Ketua</v>
          </cell>
        </row>
        <row r="67">
          <cell r="N67" t="str">
            <v>Hi.NURBUANA,ST</v>
          </cell>
          <cell r="S67" t="str">
            <v>FAISOL MUCHTAR,ST</v>
          </cell>
        </row>
        <row r="68">
          <cell r="N68" t="str">
            <v>NIP.460021600</v>
          </cell>
          <cell r="S68" t="str">
            <v>NIP. 460 021 411</v>
          </cell>
        </row>
      </sheetData>
      <sheetData sheetId="8"/>
      <sheetData sheetId="9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C.9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Jalan Al-Barokah, dan sekitarnya Kelurahan Way Dady</v>
          </cell>
        </row>
        <row r="7">
          <cell r="B7" t="str">
            <v>Lokasi</v>
          </cell>
          <cell r="E7" t="str">
            <v>:</v>
          </cell>
          <cell r="F7" t="str">
            <v>Kelurahan Way Dadi</v>
          </cell>
        </row>
        <row r="8">
          <cell r="B8" t="str">
            <v>Panjanga Rencana</v>
          </cell>
          <cell r="E8" t="str">
            <v>:</v>
          </cell>
          <cell r="F8">
            <v>750</v>
          </cell>
          <cell r="G8" t="str">
            <v>Meter</v>
          </cell>
        </row>
        <row r="9">
          <cell r="B9" t="str">
            <v>Panjang Realisasi</v>
          </cell>
          <cell r="E9" t="str">
            <v>:</v>
          </cell>
          <cell r="F9">
            <v>795</v>
          </cell>
          <cell r="G9" t="str">
            <v>Mter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318000</v>
          </cell>
          <cell r="L15">
            <v>318000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79500</v>
          </cell>
          <cell r="L16">
            <v>79500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1000000</v>
          </cell>
          <cell r="L19">
            <v>1000000</v>
          </cell>
        </row>
        <row r="20">
          <cell r="D20" t="str">
            <v>SUB TOTAL   I</v>
          </cell>
          <cell r="L20">
            <v>1847500</v>
          </cell>
        </row>
        <row r="21">
          <cell r="B21" t="str">
            <v>II</v>
          </cell>
          <cell r="D21" t="str">
            <v>PEKERJAAN TANAH</v>
          </cell>
        </row>
        <row r="22">
          <cell r="B22">
            <v>1</v>
          </cell>
          <cell r="D22" t="str">
            <v>Galian tanah untuk siring</v>
          </cell>
          <cell r="H22" t="str">
            <v>A.1</v>
          </cell>
          <cell r="I22">
            <v>604.59</v>
          </cell>
          <cell r="J22" t="str">
            <v>M3</v>
          </cell>
          <cell r="K22">
            <v>19775</v>
          </cell>
          <cell r="L22">
            <v>11955767.25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604.59</v>
          </cell>
          <cell r="J23" t="str">
            <v>M3</v>
          </cell>
          <cell r="K23">
            <v>8660</v>
          </cell>
          <cell r="L23">
            <v>5235749.4000000004</v>
          </cell>
        </row>
        <row r="24">
          <cell r="D24" t="str">
            <v>SUB TOTAL   II</v>
          </cell>
          <cell r="L24">
            <v>17191516.649999999</v>
          </cell>
        </row>
        <row r="25">
          <cell r="B25" t="str">
            <v>III</v>
          </cell>
          <cell r="D25" t="str">
            <v>PEKERJAAN BATU DAN BETON</v>
          </cell>
        </row>
        <row r="26">
          <cell r="B26">
            <v>1</v>
          </cell>
          <cell r="D26" t="str">
            <v>Pasang batu belah adk 1 : 4.</v>
          </cell>
          <cell r="H26" t="str">
            <v>G.32h+G.26(a)</v>
          </cell>
          <cell r="I26">
            <v>370.14</v>
          </cell>
          <cell r="J26" t="str">
            <v>M3</v>
          </cell>
          <cell r="K26">
            <v>527127.02</v>
          </cell>
          <cell r="L26">
            <v>195110795.18000001</v>
          </cell>
        </row>
        <row r="27">
          <cell r="B27">
            <v>2</v>
          </cell>
          <cell r="D27" t="str">
            <v>Plesteran dinding dan lantai siring adk.1:4</v>
          </cell>
          <cell r="H27" t="str">
            <v>G.50q+G.48</v>
          </cell>
          <cell r="I27">
            <v>1817.7</v>
          </cell>
          <cell r="J27" t="str">
            <v>M2</v>
          </cell>
          <cell r="K27">
            <v>19133.61</v>
          </cell>
          <cell r="L27">
            <v>34779162.899999999</v>
          </cell>
        </row>
        <row r="28">
          <cell r="D28" t="str">
            <v>SUB TOTAL   III</v>
          </cell>
          <cell r="L28">
            <v>229889958.08000001</v>
          </cell>
        </row>
        <row r="29">
          <cell r="B29" t="str">
            <v>IV</v>
          </cell>
          <cell r="D29" t="str">
            <v>PEKERJAAN GORONG-GORONG PLAT 0.6 X 0.6 X 6 M 3 UNIT</v>
          </cell>
        </row>
        <row r="30">
          <cell r="B30">
            <v>1</v>
          </cell>
          <cell r="D30" t="str">
            <v>Galian tanah</v>
          </cell>
          <cell r="H30" t="str">
            <v>A.1</v>
          </cell>
          <cell r="I30">
            <v>30.96</v>
          </cell>
          <cell r="J30" t="str">
            <v>M3</v>
          </cell>
          <cell r="K30">
            <v>19775</v>
          </cell>
          <cell r="L30">
            <v>612234</v>
          </cell>
        </row>
        <row r="31">
          <cell r="B31">
            <v>2</v>
          </cell>
          <cell r="D31" t="str">
            <v>Urugan tanah bekas galian dan dipadatkan</v>
          </cell>
          <cell r="H31" t="str">
            <v>A.7.2</v>
          </cell>
          <cell r="I31">
            <v>2.88</v>
          </cell>
          <cell r="J31" t="str">
            <v>M3</v>
          </cell>
          <cell r="K31">
            <v>123146</v>
          </cell>
          <cell r="L31">
            <v>354660.48</v>
          </cell>
        </row>
        <row r="32">
          <cell r="B32">
            <v>3</v>
          </cell>
          <cell r="D32" t="str">
            <v>Pasang batu belah adk 1 : 4.</v>
          </cell>
          <cell r="H32" t="str">
            <v>G.32h+G.26(a)</v>
          </cell>
          <cell r="I32">
            <v>18</v>
          </cell>
          <cell r="J32" t="str">
            <v>M3</v>
          </cell>
          <cell r="K32">
            <v>527127.02</v>
          </cell>
          <cell r="L32">
            <v>9488286.3599999994</v>
          </cell>
        </row>
        <row r="33">
          <cell r="B33">
            <v>4</v>
          </cell>
          <cell r="D33" t="str">
            <v>Pasang Beton bertulang. Plat K 225</v>
          </cell>
          <cell r="H33" t="str">
            <v>G.41+3/4 I.2(b)+F.8</v>
          </cell>
          <cell r="I33">
            <v>3.6</v>
          </cell>
          <cell r="J33" t="str">
            <v>M3</v>
          </cell>
          <cell r="K33">
            <v>3348157.78</v>
          </cell>
          <cell r="L33">
            <v>12053368.01</v>
          </cell>
        </row>
        <row r="34">
          <cell r="B34">
            <v>5</v>
          </cell>
          <cell r="D34" t="str">
            <v>Plesteran dinding dan lantai gorong-gorong adk.1:4</v>
          </cell>
          <cell r="H34" t="str">
            <v>G.50q+G.48</v>
          </cell>
          <cell r="I34">
            <v>35.28</v>
          </cell>
          <cell r="J34" t="str">
            <v>M2</v>
          </cell>
          <cell r="K34">
            <v>19133.61</v>
          </cell>
          <cell r="L34">
            <v>675033.76</v>
          </cell>
        </row>
        <row r="35">
          <cell r="D35" t="str">
            <v>SUB TOTAL   IV</v>
          </cell>
          <cell r="L35">
            <v>23183582.610000003</v>
          </cell>
        </row>
        <row r="36">
          <cell r="B36" t="str">
            <v>V</v>
          </cell>
          <cell r="D36" t="str">
            <v>PEKERJAAN LAIN-LAIN</v>
          </cell>
        </row>
        <row r="37">
          <cell r="B37">
            <v>1</v>
          </cell>
          <cell r="C37">
            <v>1</v>
          </cell>
          <cell r="D37" t="str">
            <v>Finishing Proyek</v>
          </cell>
          <cell r="H37" t="str">
            <v>-</v>
          </cell>
          <cell r="I37">
            <v>1</v>
          </cell>
          <cell r="J37" t="str">
            <v>Ls</v>
          </cell>
          <cell r="K37">
            <v>615000</v>
          </cell>
          <cell r="L37">
            <v>615000</v>
          </cell>
        </row>
        <row r="38">
          <cell r="D38" t="str">
            <v>SUB TOTAL   V</v>
          </cell>
          <cell r="L38">
            <v>615000</v>
          </cell>
        </row>
        <row r="39">
          <cell r="B39" t="str">
            <v>A</v>
          </cell>
          <cell r="D39" t="str">
            <v>JUMLAH</v>
          </cell>
          <cell r="L39">
            <v>272727557.34000003</v>
          </cell>
        </row>
        <row r="40">
          <cell r="B40" t="str">
            <v>B</v>
          </cell>
          <cell r="D40" t="str">
            <v>PPN 10% x A</v>
          </cell>
          <cell r="L40">
            <v>27272755.73</v>
          </cell>
        </row>
        <row r="41">
          <cell r="B41" t="str">
            <v>C</v>
          </cell>
          <cell r="D41" t="str">
            <v>JUMLAH  (A+B)</v>
          </cell>
          <cell r="L41">
            <v>300000313.07000005</v>
          </cell>
        </row>
        <row r="42">
          <cell r="B42" t="str">
            <v>D</v>
          </cell>
          <cell r="D42" t="str">
            <v>JUMLAH DIBULATKAN</v>
          </cell>
          <cell r="L42">
            <v>300000000</v>
          </cell>
        </row>
        <row r="43">
          <cell r="N43" t="str">
            <v>REKAPITULASI RENCANA ANGGARAN BIAYA</v>
          </cell>
        </row>
        <row r="44">
          <cell r="N44" t="str">
            <v>OWNER'S ESTIMATE</v>
          </cell>
        </row>
        <row r="46">
          <cell r="N46" t="str">
            <v>Kode Paket</v>
          </cell>
          <cell r="P46" t="str">
            <v>:</v>
          </cell>
          <cell r="Q46" t="str">
            <v>C.9</v>
          </cell>
        </row>
        <row r="47">
          <cell r="N47" t="str">
            <v>Kegiatan</v>
          </cell>
          <cell r="P47" t="str">
            <v>:</v>
          </cell>
          <cell r="Q47" t="str">
            <v>Penyehatan Lingkungan Permukiman (PLP)</v>
          </cell>
        </row>
        <row r="48">
          <cell r="N48" t="str">
            <v>Pekerjaan</v>
          </cell>
          <cell r="Q48" t="str">
            <v>Pembuatan Saluran Drainase Jalan Al-Barokah, dan sekitarnya Kelurahan Way Dady</v>
          </cell>
        </row>
        <row r="49">
          <cell r="N49" t="str">
            <v>Lokasi</v>
          </cell>
          <cell r="Q49" t="str">
            <v>Kelurahan Way Dadi</v>
          </cell>
        </row>
        <row r="50">
          <cell r="N50" t="str">
            <v>Panjanga Rencana</v>
          </cell>
          <cell r="Q50">
            <v>750</v>
          </cell>
          <cell r="R50" t="str">
            <v>Meter</v>
          </cell>
        </row>
        <row r="51">
          <cell r="N51" t="str">
            <v>Panjang Realisasi</v>
          </cell>
          <cell r="P51" t="str">
            <v>:</v>
          </cell>
          <cell r="Q51">
            <v>795</v>
          </cell>
          <cell r="R51" t="str">
            <v>Mter</v>
          </cell>
        </row>
        <row r="52">
          <cell r="N52" t="str">
            <v>Tahun Anggaran</v>
          </cell>
          <cell r="P52" t="str">
            <v>:</v>
          </cell>
          <cell r="Q52" t="str">
            <v>2006</v>
          </cell>
        </row>
        <row r="54">
          <cell r="N54" t="str">
            <v>NO.</v>
          </cell>
          <cell r="P54" t="str">
            <v>URAIAN  PEKERJAAN</v>
          </cell>
          <cell r="V54" t="str">
            <v>TOTAL</v>
          </cell>
        </row>
        <row r="55">
          <cell r="V55" t="str">
            <v>HARGA</v>
          </cell>
        </row>
        <row r="56">
          <cell r="V56" t="str">
            <v>(Rp)</v>
          </cell>
        </row>
        <row r="57">
          <cell r="N57" t="str">
            <v>I</v>
          </cell>
          <cell r="Q57" t="str">
            <v>PEKERJAAN PERSIAPAN</v>
          </cell>
          <cell r="V57">
            <v>1847500</v>
          </cell>
        </row>
        <row r="58">
          <cell r="N58" t="str">
            <v>II</v>
          </cell>
          <cell r="Q58" t="str">
            <v>PEKERJAAN TANAH</v>
          </cell>
          <cell r="V58">
            <v>17191516.649999999</v>
          </cell>
        </row>
        <row r="59">
          <cell r="N59" t="str">
            <v>III</v>
          </cell>
          <cell r="Q59" t="str">
            <v>PEKERJAAN BATU DAN BETON</v>
          </cell>
          <cell r="V59">
            <v>229889958.08000001</v>
          </cell>
        </row>
        <row r="60">
          <cell r="N60" t="str">
            <v>IV</v>
          </cell>
          <cell r="Q60" t="str">
            <v>PEKERJAAN GORONG-GORONG PLAT 0.6 X 0.6 X 6 M 3 UNIT</v>
          </cell>
          <cell r="V60">
            <v>23183582.610000003</v>
          </cell>
        </row>
        <row r="61">
          <cell r="N61" t="str">
            <v>V</v>
          </cell>
          <cell r="Q61" t="str">
            <v>PEKERJAAN LAIN-LAIN</v>
          </cell>
          <cell r="V61">
            <v>615000</v>
          </cell>
        </row>
        <row r="62">
          <cell r="Q62" t="str">
            <v>JUMLAH ( I  s/d.  V)</v>
          </cell>
          <cell r="V62">
            <v>272727557.34000003</v>
          </cell>
        </row>
        <row r="63">
          <cell r="Q63" t="str">
            <v>PPN 10%</v>
          </cell>
          <cell r="V63">
            <v>27272755.73</v>
          </cell>
        </row>
        <row r="64">
          <cell r="Q64" t="str">
            <v>TOTAL</v>
          </cell>
          <cell r="V64">
            <v>300000313.07000005</v>
          </cell>
        </row>
        <row r="65">
          <cell r="Q65" t="str">
            <v>DIBULATKAN</v>
          </cell>
          <cell r="V65">
            <v>300000000</v>
          </cell>
        </row>
        <row r="67">
          <cell r="O67" t="str">
            <v>Terbilang</v>
          </cell>
          <cell r="P67" t="str">
            <v>:</v>
          </cell>
          <cell r="Q67" t="str">
            <v>Tiga Ratus Juta Rupiah</v>
          </cell>
        </row>
        <row r="70">
          <cell r="S70" t="str">
            <v>Bandar Lampung,  ...................... 2006</v>
          </cell>
        </row>
        <row r="71">
          <cell r="N71" t="str">
            <v>MENGETAHUI :</v>
          </cell>
        </row>
        <row r="72">
          <cell r="N72" t="str">
            <v>PEJABAT PEMBUAT KOMITMEN/ PEMIMPIN KEGIATAN</v>
          </cell>
          <cell r="S72" t="str">
            <v>PANITIA PENGADAAN JASA KONSTRUKSI</v>
          </cell>
        </row>
        <row r="73">
          <cell r="S73" t="str">
            <v>Ketua</v>
          </cell>
        </row>
        <row r="78">
          <cell r="N78" t="str">
            <v>Hi.NURBUANA,ST</v>
          </cell>
          <cell r="S78" t="str">
            <v>FAISOL MUCHTAR,ST</v>
          </cell>
        </row>
        <row r="79">
          <cell r="N79" t="str">
            <v>NIP.460021600</v>
          </cell>
          <cell r="S79" t="str">
            <v>NIP. 460 021 411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C.16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Kelurahan Enggal</v>
          </cell>
        </row>
        <row r="7">
          <cell r="B7" t="str">
            <v>Lokasi</v>
          </cell>
          <cell r="E7" t="str">
            <v>:</v>
          </cell>
          <cell r="F7" t="str">
            <v>Kelurahan Enggal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618.5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247400.00000000003</v>
          </cell>
          <cell r="L15">
            <v>247400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85000</v>
          </cell>
          <cell r="L16">
            <v>85000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1473500</v>
          </cell>
          <cell r="L19">
            <v>1473500</v>
          </cell>
        </row>
        <row r="20">
          <cell r="D20" t="str">
            <v>SUB TOTAL   I</v>
          </cell>
          <cell r="L20">
            <v>2255900</v>
          </cell>
        </row>
        <row r="21">
          <cell r="B21" t="str">
            <v>II</v>
          </cell>
          <cell r="D21" t="str">
            <v>PEKERJAAN SIRING BARU</v>
          </cell>
        </row>
        <row r="22">
          <cell r="B22">
            <v>1</v>
          </cell>
          <cell r="D22" t="str">
            <v>Galian tanah untuk siring 55 %</v>
          </cell>
          <cell r="H22" t="str">
            <v>A.1</v>
          </cell>
          <cell r="I22">
            <v>189.15909375000001</v>
          </cell>
          <cell r="J22" t="str">
            <v>M3</v>
          </cell>
          <cell r="K22">
            <v>19775</v>
          </cell>
          <cell r="L22">
            <v>3740621.08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189.15909375000001</v>
          </cell>
          <cell r="J23" t="str">
            <v>M3</v>
          </cell>
          <cell r="K23">
            <v>8660</v>
          </cell>
          <cell r="L23">
            <v>1638117.75</v>
          </cell>
        </row>
        <row r="24">
          <cell r="B24">
            <v>3</v>
          </cell>
          <cell r="D24" t="str">
            <v>Normalisasi intake gorong-gorong di jl Diponegoro</v>
          </cell>
          <cell r="I24">
            <v>1</v>
          </cell>
          <cell r="J24" t="str">
            <v>Ls</v>
          </cell>
          <cell r="K24">
            <v>5974000</v>
          </cell>
          <cell r="L24">
            <v>5974000</v>
          </cell>
        </row>
        <row r="25">
          <cell r="B25">
            <v>4</v>
          </cell>
          <cell r="D25" t="str">
            <v>Bongkar tegel badak &amp; beton Trotoar + pembuangan</v>
          </cell>
          <cell r="I25">
            <v>1</v>
          </cell>
          <cell r="J25" t="str">
            <v>Ls</v>
          </cell>
          <cell r="K25">
            <v>1273800</v>
          </cell>
          <cell r="L25">
            <v>1273800</v>
          </cell>
        </row>
        <row r="26">
          <cell r="B26">
            <v>5</v>
          </cell>
          <cell r="D26" t="str">
            <v>Pasang Beton bertulang. Plat adk 1:2:3 penutup trotoar</v>
          </cell>
          <cell r="H26" t="str">
            <v>G.41+3/4 I.2(b)+F.8</v>
          </cell>
          <cell r="I26">
            <v>2.8</v>
          </cell>
          <cell r="J26" t="str">
            <v>M3</v>
          </cell>
          <cell r="K26">
            <v>3348157.78</v>
          </cell>
          <cell r="L26">
            <v>9374841.7839999981</v>
          </cell>
        </row>
        <row r="27">
          <cell r="B27">
            <v>6</v>
          </cell>
          <cell r="D27" t="str">
            <v>Pasang saringan sampah siring jln. Alfukat 1 x 1 m</v>
          </cell>
          <cell r="I27">
            <v>1</v>
          </cell>
          <cell r="J27" t="str">
            <v>Bh</v>
          </cell>
          <cell r="K27">
            <v>200000</v>
          </cell>
          <cell r="L27">
            <v>200000</v>
          </cell>
        </row>
        <row r="28">
          <cell r="B28">
            <v>7</v>
          </cell>
          <cell r="D28" t="str">
            <v>Pasang batu belah adk 1 : 4.</v>
          </cell>
          <cell r="H28" t="str">
            <v>G.32h+G.26(a)</v>
          </cell>
          <cell r="I28">
            <v>268.84125</v>
          </cell>
          <cell r="J28" t="str">
            <v>M3</v>
          </cell>
          <cell r="K28">
            <v>527127.02</v>
          </cell>
          <cell r="L28">
            <v>141713486.96557501</v>
          </cell>
        </row>
        <row r="29">
          <cell r="B29">
            <v>8</v>
          </cell>
          <cell r="D29" t="str">
            <v>Pasang Beton bertulang. Plat adk 1:2:3 penutup siring</v>
          </cell>
          <cell r="H29" t="str">
            <v>G.41+3/4 I.2(b)+F.8</v>
          </cell>
          <cell r="I29">
            <v>30.09375</v>
          </cell>
          <cell r="J29" t="str">
            <v>M3</v>
          </cell>
          <cell r="K29">
            <v>3348157.78</v>
          </cell>
          <cell r="L29">
            <v>100758623.19</v>
          </cell>
        </row>
        <row r="30">
          <cell r="B30">
            <v>9</v>
          </cell>
          <cell r="D30" t="str">
            <v>Plesteran dinding dan lantai siring adk.1:4</v>
          </cell>
          <cell r="H30" t="str">
            <v>G.50q+G.48</v>
          </cell>
          <cell r="I30">
            <v>1131.575</v>
          </cell>
          <cell r="J30" t="str">
            <v>M2</v>
          </cell>
          <cell r="K30">
            <v>19133.61</v>
          </cell>
          <cell r="L30">
            <v>21651114.739999998</v>
          </cell>
        </row>
        <row r="31">
          <cell r="D31" t="str">
            <v>SUB TOTAL   II</v>
          </cell>
          <cell r="L31">
            <v>286324605.50957501</v>
          </cell>
        </row>
        <row r="32">
          <cell r="B32" t="str">
            <v>III</v>
          </cell>
          <cell r="D32" t="str">
            <v>PEKERJAAN GORONG-GORONG PLAT 0.65 X 0.6 X 1.5 M 1 UNIT</v>
          </cell>
        </row>
        <row r="33">
          <cell r="B33">
            <v>1</v>
          </cell>
          <cell r="D33" t="str">
            <v>Galian tanah keras</v>
          </cell>
          <cell r="H33" t="str">
            <v>A.2</v>
          </cell>
          <cell r="I33">
            <v>2.9249999999999998</v>
          </cell>
          <cell r="J33" t="str">
            <v>M3</v>
          </cell>
          <cell r="K33">
            <v>26353</v>
          </cell>
          <cell r="L33">
            <v>77082.53</v>
          </cell>
        </row>
        <row r="34">
          <cell r="B34">
            <v>2</v>
          </cell>
          <cell r="D34" t="str">
            <v>Urugan tanah bekas galian dan dipadatkan</v>
          </cell>
          <cell r="H34" t="str">
            <v>A.7.2</v>
          </cell>
          <cell r="I34">
            <v>0.77999999999999892</v>
          </cell>
          <cell r="J34" t="str">
            <v>M3</v>
          </cell>
          <cell r="K34">
            <v>123146</v>
          </cell>
          <cell r="L34">
            <v>96053.88</v>
          </cell>
        </row>
        <row r="35">
          <cell r="B35">
            <v>3</v>
          </cell>
          <cell r="D35" t="str">
            <v>Pasang batu belah adk 1 : 4.</v>
          </cell>
          <cell r="H35" t="str">
            <v>G.32h+G.26(a)</v>
          </cell>
          <cell r="I35">
            <v>1.845</v>
          </cell>
          <cell r="J35" t="str">
            <v>M3</v>
          </cell>
          <cell r="K35">
            <v>527127.02</v>
          </cell>
          <cell r="L35">
            <v>972549.35</v>
          </cell>
        </row>
        <row r="36">
          <cell r="B36">
            <v>4</v>
          </cell>
          <cell r="D36" t="str">
            <v>Pasang Beton bertulang. Plat adk 1:2:3</v>
          </cell>
          <cell r="H36" t="str">
            <v>G.41+3/4 I.2(b)+F.8</v>
          </cell>
          <cell r="I36">
            <v>0.3</v>
          </cell>
          <cell r="J36" t="str">
            <v>M3</v>
          </cell>
          <cell r="K36">
            <v>3348157.78</v>
          </cell>
          <cell r="L36">
            <v>1004447.33</v>
          </cell>
        </row>
        <row r="37">
          <cell r="B37">
            <v>5</v>
          </cell>
          <cell r="D37" t="str">
            <v>Plesteran dinding dan lantai gorong-gorong adk.1:4</v>
          </cell>
          <cell r="H37" t="str">
            <v>G.50q+G.48</v>
          </cell>
          <cell r="I37">
            <v>5.14</v>
          </cell>
          <cell r="J37" t="str">
            <v>M2</v>
          </cell>
          <cell r="K37">
            <v>19133.61</v>
          </cell>
          <cell r="L37">
            <v>98346.76</v>
          </cell>
        </row>
        <row r="38">
          <cell r="D38" t="str">
            <v>SUB TOTAL   III</v>
          </cell>
          <cell r="L38">
            <v>2248479.8499999996</v>
          </cell>
        </row>
        <row r="39">
          <cell r="B39" t="str">
            <v>IV</v>
          </cell>
          <cell r="D39" t="str">
            <v>PEKERJAAN GORONG-GORONG PLAT 0.65 X 0.6 X 2 M 1 UNIT</v>
          </cell>
        </row>
        <row r="40">
          <cell r="B40">
            <v>1</v>
          </cell>
          <cell r="D40" t="str">
            <v>Galian tanah keras</v>
          </cell>
          <cell r="H40" t="str">
            <v>A.2</v>
          </cell>
          <cell r="I40">
            <v>3.9</v>
          </cell>
          <cell r="J40" t="str">
            <v>M3</v>
          </cell>
          <cell r="K40">
            <v>26353</v>
          </cell>
          <cell r="L40">
            <v>102776.7</v>
          </cell>
        </row>
        <row r="41">
          <cell r="B41">
            <v>2</v>
          </cell>
          <cell r="D41" t="str">
            <v>Urugan tanah bekas galian dan dipadatkan</v>
          </cell>
          <cell r="H41" t="str">
            <v>A.7.2</v>
          </cell>
          <cell r="I41">
            <v>1.04</v>
          </cell>
          <cell r="J41" t="str">
            <v>M3</v>
          </cell>
          <cell r="K41">
            <v>123146</v>
          </cell>
          <cell r="L41">
            <v>128071.84</v>
          </cell>
        </row>
        <row r="42">
          <cell r="B42">
            <v>3</v>
          </cell>
          <cell r="D42" t="str">
            <v>Pasang batu belah adk 1 : 4.</v>
          </cell>
          <cell r="H42" t="str">
            <v>G.32h+G.26(a)</v>
          </cell>
          <cell r="I42">
            <v>2.46</v>
          </cell>
          <cell r="J42" t="str">
            <v>M3</v>
          </cell>
          <cell r="K42">
            <v>527127.02</v>
          </cell>
          <cell r="L42">
            <v>1296732.47</v>
          </cell>
        </row>
        <row r="43">
          <cell r="B43">
            <v>4</v>
          </cell>
          <cell r="D43" t="str">
            <v>Pasang Beton bertulang. Plat adk 1:2:3</v>
          </cell>
          <cell r="H43" t="str">
            <v>G.41+3/4 I.2(b)+F.8</v>
          </cell>
          <cell r="I43">
            <v>0.4</v>
          </cell>
          <cell r="J43" t="str">
            <v>M3</v>
          </cell>
          <cell r="K43">
            <v>3348157.78</v>
          </cell>
          <cell r="L43">
            <v>1339263.1100000001</v>
          </cell>
        </row>
        <row r="44">
          <cell r="B44">
            <v>5</v>
          </cell>
          <cell r="D44" t="str">
            <v>Plesteran dinding dan lantai gorong-gorong adk.1:4</v>
          </cell>
          <cell r="H44" t="str">
            <v>G.50q+G.48</v>
          </cell>
          <cell r="I44">
            <v>6.04</v>
          </cell>
          <cell r="J44" t="str">
            <v>M2</v>
          </cell>
          <cell r="K44">
            <v>19133.61</v>
          </cell>
          <cell r="L44">
            <v>115567</v>
          </cell>
        </row>
        <row r="45">
          <cell r="D45" t="str">
            <v>SUB TOTAL   IV</v>
          </cell>
          <cell r="L45">
            <v>2982411.12</v>
          </cell>
        </row>
        <row r="46">
          <cell r="B46" t="str">
            <v>V</v>
          </cell>
          <cell r="D46" t="str">
            <v>PEKERJAAN GORONG-GORONG PLAT 0.65 X 0.6 X 3 M 2 UNIT</v>
          </cell>
        </row>
        <row r="47">
          <cell r="B47">
            <v>1</v>
          </cell>
          <cell r="D47" t="str">
            <v>Galian tanah keras</v>
          </cell>
          <cell r="H47" t="str">
            <v>A.2</v>
          </cell>
          <cell r="I47">
            <v>11.7</v>
          </cell>
          <cell r="J47" t="str">
            <v>M3</v>
          </cell>
          <cell r="K47">
            <v>26353</v>
          </cell>
          <cell r="L47">
            <v>308330.09999999998</v>
          </cell>
        </row>
        <row r="48">
          <cell r="B48">
            <v>2</v>
          </cell>
          <cell r="D48" t="str">
            <v>Urugan tanah bekas galian dan dipadatkan</v>
          </cell>
          <cell r="H48" t="str">
            <v>A.7.2</v>
          </cell>
          <cell r="I48">
            <v>3.12</v>
          </cell>
          <cell r="J48" t="str">
            <v>M3</v>
          </cell>
          <cell r="K48">
            <v>123146</v>
          </cell>
          <cell r="L48">
            <v>384215.52</v>
          </cell>
        </row>
        <row r="49">
          <cell r="B49">
            <v>3</v>
          </cell>
          <cell r="D49" t="str">
            <v>Pasang batu belah adk 1 : 4.</v>
          </cell>
          <cell r="H49" t="str">
            <v>G.32h+G.26(a)</v>
          </cell>
          <cell r="I49">
            <v>7.38</v>
          </cell>
          <cell r="J49" t="str">
            <v>M3</v>
          </cell>
          <cell r="K49">
            <v>527127.02</v>
          </cell>
          <cell r="L49">
            <v>3890197.41</v>
          </cell>
        </row>
        <row r="50">
          <cell r="B50">
            <v>4</v>
          </cell>
          <cell r="D50" t="str">
            <v>Pasang Beton bertulang. Plat adk 1:2:3</v>
          </cell>
          <cell r="H50" t="str">
            <v>G.41+3/4 I.2(b)+F.8</v>
          </cell>
          <cell r="I50">
            <v>1.2</v>
          </cell>
          <cell r="J50" t="str">
            <v>M3</v>
          </cell>
          <cell r="K50">
            <v>3348157.78</v>
          </cell>
          <cell r="L50">
            <v>4017789.34</v>
          </cell>
        </row>
        <row r="51">
          <cell r="B51">
            <v>5</v>
          </cell>
          <cell r="D51" t="str">
            <v>Plesteran dinding dan lantai gorong-gorong adk.1:4</v>
          </cell>
          <cell r="H51" t="str">
            <v>G.50q+G.48</v>
          </cell>
          <cell r="I51">
            <v>13.24</v>
          </cell>
          <cell r="J51" t="str">
            <v>M2</v>
          </cell>
          <cell r="K51">
            <v>19133.61</v>
          </cell>
          <cell r="L51">
            <v>253329</v>
          </cell>
        </row>
        <row r="52">
          <cell r="D52" t="str">
            <v>SUB TOTAL   V</v>
          </cell>
          <cell r="L52">
            <v>8853861.370000001</v>
          </cell>
        </row>
        <row r="53">
          <cell r="B53" t="str">
            <v>VI</v>
          </cell>
          <cell r="D53" t="str">
            <v>PEKERJAAN GORONG-GORONG PLAT 0.65 X 0.6 X 4 M 4 UNIT</v>
          </cell>
        </row>
        <row r="54">
          <cell r="B54">
            <v>1</v>
          </cell>
          <cell r="D54" t="str">
            <v>Galian tanah keras</v>
          </cell>
          <cell r="H54" t="str">
            <v>A.2</v>
          </cell>
          <cell r="I54">
            <v>31.2</v>
          </cell>
          <cell r="J54" t="str">
            <v>M3</v>
          </cell>
          <cell r="K54">
            <v>26353</v>
          </cell>
          <cell r="L54">
            <v>822213.6</v>
          </cell>
        </row>
        <row r="55">
          <cell r="B55">
            <v>2</v>
          </cell>
          <cell r="D55" t="str">
            <v>Urugan tanah bekas galian dan dipadatkan</v>
          </cell>
          <cell r="H55" t="str">
            <v>A.7.2</v>
          </cell>
          <cell r="I55">
            <v>8.32</v>
          </cell>
          <cell r="J55" t="str">
            <v>M3</v>
          </cell>
          <cell r="K55">
            <v>123146</v>
          </cell>
          <cell r="L55">
            <v>1024574.72</v>
          </cell>
        </row>
        <row r="56">
          <cell r="B56">
            <v>3</v>
          </cell>
          <cell r="D56" t="str">
            <v>Pasang batu belah adk 1 : 4.</v>
          </cell>
          <cell r="H56" t="str">
            <v>G.32h+G.26(a)</v>
          </cell>
          <cell r="I56">
            <v>19.68</v>
          </cell>
          <cell r="J56" t="str">
            <v>M3</v>
          </cell>
          <cell r="K56">
            <v>527127.02</v>
          </cell>
          <cell r="L56">
            <v>10373859.75</v>
          </cell>
        </row>
        <row r="57">
          <cell r="B57">
            <v>4</v>
          </cell>
          <cell r="D57" t="str">
            <v>Pasang Beton bertulang. Plat adk 1:2:3</v>
          </cell>
          <cell r="H57" t="str">
            <v>G.41+3/4 I.2(b)+F.8</v>
          </cell>
          <cell r="I57">
            <v>3.2</v>
          </cell>
          <cell r="J57" t="str">
            <v>M3</v>
          </cell>
          <cell r="K57">
            <v>3348157.78</v>
          </cell>
          <cell r="L57">
            <v>10714104.9</v>
          </cell>
        </row>
        <row r="58">
          <cell r="B58">
            <v>5</v>
          </cell>
          <cell r="D58" t="str">
            <v>Plesteran dinding dan lantai gorong-gorong adk.1:4</v>
          </cell>
          <cell r="H58" t="str">
            <v>G.50q+G.48</v>
          </cell>
          <cell r="I58">
            <v>31.24</v>
          </cell>
          <cell r="J58" t="str">
            <v>M2</v>
          </cell>
          <cell r="K58">
            <v>19133.61</v>
          </cell>
          <cell r="L58">
            <v>597733.98</v>
          </cell>
        </row>
        <row r="59">
          <cell r="D59" t="str">
            <v>SUB TOTAL   VI</v>
          </cell>
          <cell r="L59">
            <v>23532486.949999999</v>
          </cell>
        </row>
        <row r="60">
          <cell r="B60" t="str">
            <v>VII</v>
          </cell>
          <cell r="D60" t="str">
            <v>PEKERJAAN GORONG-GORONG PLAT 0.5 X 0.6 X 4 M 1 UNIT</v>
          </cell>
        </row>
        <row r="61">
          <cell r="B61">
            <v>1</v>
          </cell>
          <cell r="D61" t="str">
            <v>Galian tanah keras</v>
          </cell>
          <cell r="H61" t="str">
            <v>A.2</v>
          </cell>
          <cell r="I61">
            <v>6.24</v>
          </cell>
          <cell r="J61" t="str">
            <v>M3</v>
          </cell>
          <cell r="K61">
            <v>26353</v>
          </cell>
          <cell r="L61">
            <v>164442.72</v>
          </cell>
        </row>
        <row r="62">
          <cell r="B62">
            <v>2</v>
          </cell>
          <cell r="D62" t="str">
            <v>Urugan tanah bekas galian dan dipadatkan</v>
          </cell>
          <cell r="H62" t="str">
            <v>A.7.2</v>
          </cell>
          <cell r="I62">
            <v>1.48</v>
          </cell>
          <cell r="J62" t="str">
            <v>M3</v>
          </cell>
          <cell r="K62">
            <v>123146</v>
          </cell>
          <cell r="L62">
            <v>182256.08</v>
          </cell>
        </row>
        <row r="63">
          <cell r="B63">
            <v>3</v>
          </cell>
          <cell r="D63" t="str">
            <v>Pasang batu belah adk 1 : 4.</v>
          </cell>
          <cell r="H63" t="str">
            <v>G.32h+G.26(a)</v>
          </cell>
          <cell r="I63">
            <v>3.96</v>
          </cell>
          <cell r="J63" t="str">
            <v>M3</v>
          </cell>
          <cell r="K63">
            <v>527127.02</v>
          </cell>
          <cell r="L63">
            <v>2087423</v>
          </cell>
        </row>
        <row r="64">
          <cell r="B64">
            <v>4</v>
          </cell>
          <cell r="D64" t="str">
            <v>Pasang Beton bertulang. Plat adk 1:2:3</v>
          </cell>
          <cell r="H64" t="str">
            <v>G.41+3/4 I.2(b)+F.8</v>
          </cell>
          <cell r="I64">
            <v>0.8</v>
          </cell>
          <cell r="J64" t="str">
            <v>M3</v>
          </cell>
          <cell r="K64">
            <v>3348157.78</v>
          </cell>
          <cell r="L64">
            <v>2678526.2200000002</v>
          </cell>
        </row>
        <row r="65">
          <cell r="B65">
            <v>5</v>
          </cell>
          <cell r="D65" t="str">
            <v>Plesteran dinding dan lantai gorong-gorong adk.1:4</v>
          </cell>
          <cell r="H65" t="str">
            <v>G.50q+G.48</v>
          </cell>
          <cell r="I65">
            <v>8.36</v>
          </cell>
          <cell r="J65" t="str">
            <v>M2</v>
          </cell>
          <cell r="K65">
            <v>19133.61</v>
          </cell>
          <cell r="L65">
            <v>159956.98000000001</v>
          </cell>
        </row>
        <row r="66">
          <cell r="D66" t="str">
            <v>SUB TOTAL   VII</v>
          </cell>
          <cell r="L66">
            <v>5272605</v>
          </cell>
        </row>
        <row r="67">
          <cell r="B67" t="str">
            <v>VIII</v>
          </cell>
          <cell r="D67" t="str">
            <v>PEKERJAAN GORONG-GORONG PLAT 0.65 X 0.6 X 6 M 1 UNIT</v>
          </cell>
        </row>
        <row r="68">
          <cell r="B68">
            <v>1</v>
          </cell>
          <cell r="D68" t="str">
            <v>Galian tanah  keras</v>
          </cell>
          <cell r="H68" t="str">
            <v>A.2</v>
          </cell>
          <cell r="I68">
            <v>13.14</v>
          </cell>
          <cell r="J68" t="str">
            <v>M3</v>
          </cell>
          <cell r="K68">
            <v>26353</v>
          </cell>
          <cell r="L68">
            <v>346278.42</v>
          </cell>
        </row>
        <row r="69">
          <cell r="B69">
            <v>2</v>
          </cell>
          <cell r="D69" t="str">
            <v>Urugan tanah bekas galian dan dipadatkan</v>
          </cell>
          <cell r="H69" t="str">
            <v>A.7.2</v>
          </cell>
          <cell r="I69">
            <v>4.5599999999999996</v>
          </cell>
          <cell r="J69" t="str">
            <v>M3</v>
          </cell>
          <cell r="K69">
            <v>123146</v>
          </cell>
          <cell r="L69">
            <v>561545.76</v>
          </cell>
        </row>
        <row r="70">
          <cell r="B70">
            <v>3</v>
          </cell>
          <cell r="D70" t="str">
            <v>Pasang batu belah adk 1 : 4.</v>
          </cell>
          <cell r="H70" t="str">
            <v>G.32h+G.26(a)</v>
          </cell>
          <cell r="I70">
            <v>7.38</v>
          </cell>
          <cell r="J70" t="str">
            <v>M3</v>
          </cell>
          <cell r="K70">
            <v>527127.02</v>
          </cell>
          <cell r="L70">
            <v>3890197.41</v>
          </cell>
        </row>
        <row r="71">
          <cell r="B71">
            <v>4</v>
          </cell>
          <cell r="D71" t="str">
            <v>Pasang Beton bertulang. Plat adk 1:2:3</v>
          </cell>
          <cell r="H71" t="str">
            <v>G.41+3/4 I.2(b)+F.8</v>
          </cell>
          <cell r="I71">
            <v>1.2</v>
          </cell>
          <cell r="J71" t="str">
            <v>M3</v>
          </cell>
          <cell r="K71">
            <v>3348157.78</v>
          </cell>
          <cell r="L71">
            <v>4017789.34</v>
          </cell>
        </row>
        <row r="72">
          <cell r="B72">
            <v>5</v>
          </cell>
          <cell r="D72" t="str">
            <v>Plesteran dinding dan lantai gorong-gorong adk.1:4</v>
          </cell>
          <cell r="H72" t="str">
            <v>G.50q+G.48</v>
          </cell>
          <cell r="I72">
            <v>13.24</v>
          </cell>
          <cell r="J72" t="str">
            <v>M2</v>
          </cell>
          <cell r="K72">
            <v>19133.61</v>
          </cell>
          <cell r="L72">
            <v>253329</v>
          </cell>
        </row>
        <row r="73">
          <cell r="D73" t="str">
            <v>SUB TOTAL   VIII</v>
          </cell>
          <cell r="L73">
            <v>9069139.9299999997</v>
          </cell>
        </row>
        <row r="74">
          <cell r="B74" t="str">
            <v>IX</v>
          </cell>
          <cell r="D74" t="str">
            <v>PEKERJAAN GORONG-GORONG PLAT 0.5 X 0.7 X 7 M 1 UNIT</v>
          </cell>
        </row>
        <row r="75">
          <cell r="B75">
            <v>1</v>
          </cell>
          <cell r="D75" t="str">
            <v>Galian tanah  keras</v>
          </cell>
          <cell r="H75" t="str">
            <v>A.2</v>
          </cell>
          <cell r="I75">
            <v>11.515000000000001</v>
          </cell>
          <cell r="J75" t="str">
            <v>M3</v>
          </cell>
          <cell r="K75">
            <v>26353</v>
          </cell>
          <cell r="L75">
            <v>303454.8</v>
          </cell>
        </row>
        <row r="76">
          <cell r="B76">
            <v>2</v>
          </cell>
          <cell r="D76" t="str">
            <v>Urugan tanah bekas galian dan dipadatkan</v>
          </cell>
          <cell r="H76" t="str">
            <v>A.7.2</v>
          </cell>
          <cell r="I76">
            <v>2.94</v>
          </cell>
          <cell r="J76" t="str">
            <v>M3</v>
          </cell>
          <cell r="K76">
            <v>123146</v>
          </cell>
          <cell r="L76">
            <v>362049.24</v>
          </cell>
        </row>
        <row r="77">
          <cell r="B77">
            <v>3</v>
          </cell>
          <cell r="D77" t="str">
            <v>Pasang batu belah adk 1 : 4.</v>
          </cell>
          <cell r="H77" t="str">
            <v>G.32h+G.26(a)</v>
          </cell>
          <cell r="I77">
            <v>7.0350000000000001</v>
          </cell>
          <cell r="J77" t="str">
            <v>M3</v>
          </cell>
          <cell r="K77">
            <v>527127.02</v>
          </cell>
          <cell r="L77">
            <v>3708338.59</v>
          </cell>
        </row>
        <row r="78">
          <cell r="B78">
            <v>4</v>
          </cell>
          <cell r="D78" t="str">
            <v>Pasang Beton bertulang. Plat adk 1:2:3</v>
          </cell>
          <cell r="H78" t="str">
            <v>G.41+3/4 I.2(b)+F.8</v>
          </cell>
          <cell r="I78">
            <v>1.54</v>
          </cell>
          <cell r="J78" t="str">
            <v>M3</v>
          </cell>
          <cell r="K78">
            <v>3348157.78</v>
          </cell>
          <cell r="L78">
            <v>5156162.9800000004</v>
          </cell>
        </row>
        <row r="79">
          <cell r="B79">
            <v>5</v>
          </cell>
          <cell r="D79" t="str">
            <v>Plesteran dinding dan lantai gorong-gorong adk.1:4</v>
          </cell>
          <cell r="H79" t="str">
            <v>G.50q+G.48</v>
          </cell>
          <cell r="I79">
            <v>13.86</v>
          </cell>
          <cell r="J79" t="str">
            <v>M2</v>
          </cell>
          <cell r="K79">
            <v>19133.61</v>
          </cell>
          <cell r="L79">
            <v>265191.83</v>
          </cell>
        </row>
        <row r="80">
          <cell r="D80" t="str">
            <v>SUB TOTAL   IX</v>
          </cell>
          <cell r="L80">
            <v>9795197.4399999995</v>
          </cell>
        </row>
        <row r="81">
          <cell r="B81" t="str">
            <v>X</v>
          </cell>
          <cell r="D81" t="str">
            <v>PEKERJAAN LAIN-LAIN</v>
          </cell>
        </row>
        <row r="82">
          <cell r="B82">
            <v>1</v>
          </cell>
          <cell r="C82">
            <v>1</v>
          </cell>
          <cell r="D82" t="str">
            <v>Finishing Proyek</v>
          </cell>
          <cell r="H82" t="str">
            <v>-</v>
          </cell>
          <cell r="I82">
            <v>1</v>
          </cell>
          <cell r="J82" t="str">
            <v>Ls</v>
          </cell>
          <cell r="K82">
            <v>620000</v>
          </cell>
          <cell r="L82">
            <v>620000</v>
          </cell>
        </row>
        <row r="83">
          <cell r="D83" t="str">
            <v>SUB TOTAL   X</v>
          </cell>
          <cell r="L83">
            <v>620000</v>
          </cell>
        </row>
        <row r="84">
          <cell r="B84" t="str">
            <v>A</v>
          </cell>
          <cell r="D84" t="str">
            <v>JUMLAH</v>
          </cell>
          <cell r="L84">
            <v>350954687.16957521</v>
          </cell>
        </row>
        <row r="85">
          <cell r="B85" t="str">
            <v>B</v>
          </cell>
          <cell r="D85" t="str">
            <v>PPN 10% x A</v>
          </cell>
          <cell r="L85">
            <v>35095468.719999999</v>
          </cell>
        </row>
        <row r="86">
          <cell r="B86" t="str">
            <v>C</v>
          </cell>
          <cell r="D86" t="str">
            <v>JUMLAH  (A+B)</v>
          </cell>
          <cell r="L86">
            <v>386050155.88957524</v>
          </cell>
        </row>
        <row r="87">
          <cell r="B87" t="str">
            <v>D</v>
          </cell>
          <cell r="D87" t="str">
            <v>JUMLAH DIBULATKAN</v>
          </cell>
          <cell r="L87">
            <v>386050000</v>
          </cell>
        </row>
        <row r="88">
          <cell r="N88" t="str">
            <v>REKAPITULASI RENCANA ANGGARAN BIAYA</v>
          </cell>
        </row>
        <row r="89">
          <cell r="N89" t="str">
            <v>OWNER'S ESTIMATE</v>
          </cell>
        </row>
        <row r="91">
          <cell r="N91" t="str">
            <v>Kode Paket</v>
          </cell>
          <cell r="P91" t="str">
            <v>:</v>
          </cell>
          <cell r="Q91" t="str">
            <v>C.16</v>
          </cell>
        </row>
        <row r="92">
          <cell r="N92" t="str">
            <v>Kegiatan</v>
          </cell>
          <cell r="P92" t="str">
            <v>:</v>
          </cell>
          <cell r="Q92" t="str">
            <v>Penyehatan Lingkungan Permukiman (PLP)</v>
          </cell>
        </row>
        <row r="93">
          <cell r="N93" t="str">
            <v>Pekerjaan</v>
          </cell>
          <cell r="Q93" t="str">
            <v>Pembuatan Saluran Drainase Kelurahan Enggal</v>
          </cell>
        </row>
        <row r="94">
          <cell r="N94" t="str">
            <v>Lokasi</v>
          </cell>
          <cell r="Q94" t="str">
            <v>Kelurahan Enggal</v>
          </cell>
        </row>
        <row r="95">
          <cell r="N95" t="str">
            <v>Panjanga Rencana</v>
          </cell>
          <cell r="Q95">
            <v>500</v>
          </cell>
          <cell r="R95" t="str">
            <v>M'</v>
          </cell>
        </row>
        <row r="96">
          <cell r="N96" t="str">
            <v>Panjang Realisasi</v>
          </cell>
          <cell r="P96" t="str">
            <v>:</v>
          </cell>
          <cell r="Q96">
            <v>618.5</v>
          </cell>
          <cell r="R96" t="str">
            <v>M'</v>
          </cell>
        </row>
        <row r="97">
          <cell r="N97" t="str">
            <v>Tahun Anggaran</v>
          </cell>
          <cell r="P97" t="str">
            <v>:</v>
          </cell>
          <cell r="Q97" t="str">
            <v>2006</v>
          </cell>
        </row>
        <row r="99">
          <cell r="N99" t="str">
            <v>NO.</v>
          </cell>
          <cell r="P99" t="str">
            <v>URAIAN  PEKERJAAN</v>
          </cell>
          <cell r="V99" t="str">
            <v>TOTAL</v>
          </cell>
        </row>
        <row r="100">
          <cell r="V100" t="str">
            <v>HARGA</v>
          </cell>
        </row>
        <row r="101">
          <cell r="V101" t="str">
            <v>(Rp)</v>
          </cell>
        </row>
        <row r="102">
          <cell r="N102" t="str">
            <v>I</v>
          </cell>
          <cell r="Q102" t="str">
            <v>PEKERJAAN PERSIAPAN</v>
          </cell>
          <cell r="V102">
            <v>2255900</v>
          </cell>
        </row>
        <row r="103">
          <cell r="N103" t="str">
            <v>II</v>
          </cell>
          <cell r="Q103" t="str">
            <v>PEKERJAAN SIRING BARU</v>
          </cell>
          <cell r="V103">
            <v>286324605.50957501</v>
          </cell>
        </row>
        <row r="104">
          <cell r="N104" t="str">
            <v>III</v>
          </cell>
          <cell r="Q104" t="str">
            <v>PEKERJAAN GORONG-GORONG PLAT 0.65 X 0.6 X 1.5 M 1 UNIT</v>
          </cell>
          <cell r="V104">
            <v>2248479.8499999996</v>
          </cell>
        </row>
        <row r="105">
          <cell r="N105" t="str">
            <v>IV</v>
          </cell>
          <cell r="Q105" t="str">
            <v>PEKERJAAN GORONG-GORONG PLAT 0.65 X 0.6 X 2 M 1 UNIT</v>
          </cell>
          <cell r="V105">
            <v>2982411.12</v>
          </cell>
        </row>
        <row r="106">
          <cell r="N106" t="str">
            <v>V</v>
          </cell>
          <cell r="Q106" t="str">
            <v>PEKERJAAN GORONG-GORONG PLAT 0.65 X 0.6 X 3 M 2 UNIT</v>
          </cell>
          <cell r="V106">
            <v>8853861.370000001</v>
          </cell>
        </row>
        <row r="107">
          <cell r="N107" t="str">
            <v>VI</v>
          </cell>
          <cell r="Q107" t="str">
            <v>PEKERJAAN GORONG-GORONG PLAT 0.65 X 0.6 X 4 M 4 UNIT</v>
          </cell>
          <cell r="V107">
            <v>23532486.949999999</v>
          </cell>
        </row>
        <row r="108">
          <cell r="N108" t="str">
            <v>VII</v>
          </cell>
          <cell r="Q108" t="str">
            <v>PEKERJAAN GORONG-GORONG PLAT 0.5 X 0.6 X 4 M 1 UNIT</v>
          </cell>
          <cell r="V108">
            <v>5272605</v>
          </cell>
        </row>
        <row r="109">
          <cell r="N109" t="str">
            <v>VIII</v>
          </cell>
          <cell r="Q109" t="str">
            <v>PEKERJAAN GORONG-GORONG PLAT 0.65 X 0.6 X 6 M 1 UNIT</v>
          </cell>
          <cell r="V109">
            <v>9069139.9299999997</v>
          </cell>
        </row>
        <row r="110">
          <cell r="N110" t="str">
            <v>IX</v>
          </cell>
          <cell r="Q110" t="str">
            <v>PEKERJAAN GORONG-GORONG PLAT 0.5 X 0.7 X 7 M 1 UNIT</v>
          </cell>
          <cell r="V110">
            <v>9795197.4399999995</v>
          </cell>
        </row>
        <row r="111">
          <cell r="N111" t="str">
            <v>X</v>
          </cell>
          <cell r="Q111" t="str">
            <v>PEKERJAAN LAIN-LAIN</v>
          </cell>
          <cell r="V111">
            <v>620000</v>
          </cell>
        </row>
        <row r="112">
          <cell r="Q112" t="str">
            <v>JUMLAH ( I  s/d.  X)</v>
          </cell>
          <cell r="V112">
            <v>350954687.16957504</v>
          </cell>
        </row>
        <row r="113">
          <cell r="Q113" t="str">
            <v>PPN 10%</v>
          </cell>
          <cell r="V113">
            <v>35095468.719999999</v>
          </cell>
        </row>
        <row r="114">
          <cell r="Q114" t="str">
            <v>TOTAL</v>
          </cell>
          <cell r="V114">
            <v>386050155.889575</v>
          </cell>
        </row>
        <row r="115">
          <cell r="Q115" t="str">
            <v>DIBULATKAN</v>
          </cell>
          <cell r="V115">
            <v>386050000</v>
          </cell>
        </row>
        <row r="117">
          <cell r="O117" t="str">
            <v>Terbilang</v>
          </cell>
          <cell r="P117" t="str">
            <v>:</v>
          </cell>
          <cell r="Q117" t="str">
            <v>Tiga Ratus Delapan Puluh Enam Juta Lima Puluh Ribu Rupiah</v>
          </cell>
        </row>
        <row r="120">
          <cell r="S120" t="str">
            <v>Bandar Lampung,  ...................... 2006</v>
          </cell>
        </row>
        <row r="121">
          <cell r="N121" t="str">
            <v>MENGETAHUI :</v>
          </cell>
        </row>
        <row r="122">
          <cell r="N122" t="str">
            <v>PEJABAT PEMBUAT KOMITMEN/ PEMIMPIN KEGIATAN</v>
          </cell>
          <cell r="S122" t="str">
            <v>PANITIA PENGADAAN JASA KONSTRUKSI</v>
          </cell>
        </row>
        <row r="123">
          <cell r="S123" t="str">
            <v>Ketua</v>
          </cell>
        </row>
        <row r="128">
          <cell r="N128" t="str">
            <v>Hi.NURBUANA,ST</v>
          </cell>
          <cell r="S128" t="str">
            <v>FAISOL MUCHTAR,ST</v>
          </cell>
        </row>
        <row r="129">
          <cell r="N129" t="str">
            <v>NIP.460021600</v>
          </cell>
          <cell r="S129" t="str">
            <v>NIP. 460 021 411</v>
          </cell>
        </row>
      </sheetData>
      <sheetData sheetId="17"/>
      <sheetData sheetId="18"/>
      <sheetData sheetId="19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C.19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dan Gorong-gorong Plat Jalan Kelapa, Jalan Cendana, Jalan Jati dan Jalan Akasia Kelurahan Sepang Jaya</v>
          </cell>
        </row>
        <row r="7">
          <cell r="B7" t="str">
            <v>Lokasi</v>
          </cell>
          <cell r="E7" t="str">
            <v>:</v>
          </cell>
          <cell r="F7" t="str">
            <v>Kelurahan Sepang Jaya</v>
          </cell>
        </row>
        <row r="8">
          <cell r="B8" t="str">
            <v>Panjanga Rencana</v>
          </cell>
          <cell r="E8" t="str">
            <v>:</v>
          </cell>
          <cell r="F8">
            <v>667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924.6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369840</v>
          </cell>
          <cell r="L15">
            <v>369840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92460</v>
          </cell>
          <cell r="L16">
            <v>92460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1250000</v>
          </cell>
          <cell r="L19">
            <v>1250000</v>
          </cell>
        </row>
        <row r="20">
          <cell r="D20" t="str">
            <v>SUB TOTAL   I</v>
          </cell>
          <cell r="L20">
            <v>2162300</v>
          </cell>
        </row>
        <row r="21">
          <cell r="B21" t="str">
            <v>II</v>
          </cell>
          <cell r="D21" t="str">
            <v>PEKERJAAN SIRING BARU</v>
          </cell>
        </row>
        <row r="22">
          <cell r="B22">
            <v>1</v>
          </cell>
          <cell r="D22" t="str">
            <v>Galian tanah untuk siring 85 %</v>
          </cell>
          <cell r="H22" t="str">
            <v>A.1</v>
          </cell>
          <cell r="I22">
            <v>395.33712500000001</v>
          </cell>
          <cell r="J22" t="str">
            <v>M3</v>
          </cell>
          <cell r="K22">
            <v>19775</v>
          </cell>
          <cell r="L22">
            <v>7817791.6500000004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395.33712500000001</v>
          </cell>
          <cell r="J23" t="str">
            <v>M3</v>
          </cell>
          <cell r="K23">
            <v>8660</v>
          </cell>
          <cell r="L23">
            <v>3423619.5</v>
          </cell>
        </row>
        <row r="24">
          <cell r="B24">
            <v>3</v>
          </cell>
          <cell r="D24" t="str">
            <v>Pasang batu belah adk 1 : 4.</v>
          </cell>
          <cell r="H24" t="str">
            <v>G.32h+G.26(a)</v>
          </cell>
          <cell r="I24">
            <v>310.23349999999999</v>
          </cell>
          <cell r="J24" t="str">
            <v>M3</v>
          </cell>
          <cell r="K24">
            <v>527127.02</v>
          </cell>
          <cell r="L24">
            <v>163532460.36000001</v>
          </cell>
        </row>
        <row r="25">
          <cell r="B25">
            <v>4</v>
          </cell>
          <cell r="D25" t="str">
            <v>Plesteran dinding dan lantai siring adk.1:4</v>
          </cell>
          <cell r="H25" t="str">
            <v>G.50q+G.48</v>
          </cell>
          <cell r="I25">
            <v>1520.29</v>
          </cell>
          <cell r="J25" t="str">
            <v>M2</v>
          </cell>
          <cell r="K25">
            <v>19133.61</v>
          </cell>
          <cell r="L25">
            <v>29088635.949999999</v>
          </cell>
        </row>
        <row r="26">
          <cell r="D26" t="str">
            <v>SUB TOTAL   II</v>
          </cell>
          <cell r="L26">
            <v>203862507.46000001</v>
          </cell>
        </row>
        <row r="27">
          <cell r="B27" t="str">
            <v>III</v>
          </cell>
          <cell r="D27" t="str">
            <v>PEKERJAAN REHAP SIRING LAMA PASANGAN SEBELAH</v>
          </cell>
        </row>
        <row r="28">
          <cell r="B28">
            <v>1</v>
          </cell>
          <cell r="D28" t="str">
            <v>Galian tanah untuk siring 50 %</v>
          </cell>
          <cell r="H28" t="str">
            <v>A.1</v>
          </cell>
          <cell r="I28">
            <v>16.02</v>
          </cell>
          <cell r="J28" t="str">
            <v>M3</v>
          </cell>
          <cell r="K28">
            <v>19775</v>
          </cell>
          <cell r="L28">
            <v>316795.5</v>
          </cell>
        </row>
        <row r="29">
          <cell r="B29">
            <v>2</v>
          </cell>
          <cell r="D29" t="str">
            <v>Pembuangan ex galian tanah</v>
          </cell>
          <cell r="H29" t="str">
            <v>A.6</v>
          </cell>
          <cell r="I29">
            <v>16.02</v>
          </cell>
          <cell r="J29" t="str">
            <v>M3</v>
          </cell>
          <cell r="K29">
            <v>8660</v>
          </cell>
          <cell r="L29">
            <v>138733.20000000001</v>
          </cell>
        </row>
        <row r="30">
          <cell r="B30">
            <v>3</v>
          </cell>
          <cell r="D30" t="str">
            <v>Pasang batu belah adk 1 : 4.</v>
          </cell>
          <cell r="H30" t="str">
            <v>G.32h+G.26(a)</v>
          </cell>
          <cell r="I30">
            <v>14.03875</v>
          </cell>
          <cell r="J30" t="str">
            <v>M3</v>
          </cell>
          <cell r="K30">
            <v>527127.02</v>
          </cell>
          <cell r="L30">
            <v>7400204.4500000002</v>
          </cell>
        </row>
        <row r="31">
          <cell r="B31">
            <v>4</v>
          </cell>
          <cell r="D31" t="str">
            <v>Plesteran dinding dan lantai siring adk.1:4</v>
          </cell>
          <cell r="H31" t="str">
            <v>G.50q+G.48</v>
          </cell>
          <cell r="I31">
            <v>124.3</v>
          </cell>
          <cell r="J31" t="str">
            <v>M2</v>
          </cell>
          <cell r="K31">
            <v>19133.61</v>
          </cell>
          <cell r="L31">
            <v>2378307.7200000002</v>
          </cell>
        </row>
        <row r="32">
          <cell r="D32" t="str">
            <v>SUB TOTAL   III</v>
          </cell>
          <cell r="L32">
            <v>10234040.870000001</v>
          </cell>
        </row>
        <row r="33">
          <cell r="B33" t="str">
            <v>IV</v>
          </cell>
          <cell r="D33" t="str">
            <v>PEKERJAAN GORONG-GORONG BETON PLAT 0.5 X 0.8 X 6 M 1 UNIT</v>
          </cell>
        </row>
        <row r="34">
          <cell r="B34">
            <v>1</v>
          </cell>
          <cell r="D34" t="str">
            <v>Galian tanah keras</v>
          </cell>
          <cell r="H34" t="str">
            <v>A.2</v>
          </cell>
          <cell r="I34">
            <v>12.24</v>
          </cell>
          <cell r="J34" t="str">
            <v>M3</v>
          </cell>
          <cell r="K34">
            <v>26353</v>
          </cell>
          <cell r="L34">
            <v>322560.71999999997</v>
          </cell>
        </row>
        <row r="35">
          <cell r="B35">
            <v>2</v>
          </cell>
          <cell r="D35" t="str">
            <v>Pembuangan bekas galian</v>
          </cell>
          <cell r="H35" t="str">
            <v>A.6</v>
          </cell>
          <cell r="I35">
            <v>12.24</v>
          </cell>
          <cell r="J35" t="str">
            <v>M3</v>
          </cell>
          <cell r="K35">
            <v>8660</v>
          </cell>
          <cell r="L35">
            <v>105998.39999999999</v>
          </cell>
        </row>
        <row r="36">
          <cell r="B36">
            <v>3</v>
          </cell>
          <cell r="D36" t="str">
            <v>Pasang batu belah adk 1 : 4.</v>
          </cell>
          <cell r="H36" t="str">
            <v>G.32h+G.26(a)</v>
          </cell>
          <cell r="I36">
            <v>7.08</v>
          </cell>
          <cell r="J36" t="str">
            <v>M3</v>
          </cell>
          <cell r="K36">
            <v>527127.02</v>
          </cell>
          <cell r="L36">
            <v>3732059.3</v>
          </cell>
        </row>
        <row r="37">
          <cell r="B37">
            <v>4</v>
          </cell>
          <cell r="D37" t="str">
            <v>Pasang Beton bertulang. Plat lantai adk 1:2:3</v>
          </cell>
          <cell r="H37" t="str">
            <v>G.41+3/4 I.2(b)+F.8</v>
          </cell>
          <cell r="I37">
            <v>1.2</v>
          </cell>
          <cell r="J37" t="str">
            <v>M3</v>
          </cell>
          <cell r="K37">
            <v>3348157.78</v>
          </cell>
          <cell r="L37">
            <v>4017789.34</v>
          </cell>
        </row>
        <row r="38">
          <cell r="B38">
            <v>5</v>
          </cell>
          <cell r="D38" t="str">
            <v>Plesteran dinding dan lantai gorong-gorong adk.1:4</v>
          </cell>
          <cell r="H38" t="str">
            <v>G.50q+G.48</v>
          </cell>
          <cell r="I38">
            <v>15.56</v>
          </cell>
          <cell r="J38" t="str">
            <v>M2</v>
          </cell>
          <cell r="K38">
            <v>19133.61</v>
          </cell>
          <cell r="L38">
            <v>297718.96999999997</v>
          </cell>
        </row>
        <row r="39">
          <cell r="B39">
            <v>6</v>
          </cell>
          <cell r="D39" t="str">
            <v>Pekerjaan latasir tebal 2 cm</v>
          </cell>
          <cell r="H39" t="str">
            <v>K 638</v>
          </cell>
          <cell r="I39">
            <v>12</v>
          </cell>
          <cell r="J39" t="str">
            <v>M2</v>
          </cell>
          <cell r="K39">
            <v>30278.240000000002</v>
          </cell>
          <cell r="L39">
            <v>363338.88</v>
          </cell>
        </row>
        <row r="40">
          <cell r="D40" t="str">
            <v>SUB TOTAL   IV</v>
          </cell>
          <cell r="L40">
            <v>8839465.6100000013</v>
          </cell>
        </row>
        <row r="41">
          <cell r="B41" t="str">
            <v>V</v>
          </cell>
          <cell r="D41" t="str">
            <v>PEKERJAAN GORONG-GORONG BETON PLAT 0.5 X 0.8 X 5 M 7 UNIT</v>
          </cell>
        </row>
        <row r="42">
          <cell r="B42">
            <v>1</v>
          </cell>
          <cell r="D42" t="str">
            <v>Galian tanah keras</v>
          </cell>
          <cell r="H42" t="str">
            <v>A.2</v>
          </cell>
          <cell r="I42">
            <v>71.400000000000006</v>
          </cell>
          <cell r="J42" t="str">
            <v>M3</v>
          </cell>
          <cell r="K42">
            <v>26353</v>
          </cell>
          <cell r="L42">
            <v>1881604.2</v>
          </cell>
        </row>
        <row r="43">
          <cell r="B43">
            <v>2</v>
          </cell>
          <cell r="D43" t="str">
            <v>Pembuangan bekas galian</v>
          </cell>
          <cell r="H43" t="str">
            <v>A.6</v>
          </cell>
          <cell r="I43">
            <v>71.400000000000006</v>
          </cell>
          <cell r="J43" t="str">
            <v>M3</v>
          </cell>
          <cell r="K43">
            <v>8660</v>
          </cell>
          <cell r="L43">
            <v>618324</v>
          </cell>
        </row>
        <row r="44">
          <cell r="B44">
            <v>3</v>
          </cell>
          <cell r="D44" t="str">
            <v>Pasang batu belah adk 1 : 4.</v>
          </cell>
          <cell r="H44" t="str">
            <v>G.32h+G.26(a)</v>
          </cell>
          <cell r="I44">
            <v>41.3</v>
          </cell>
          <cell r="J44" t="str">
            <v>M3</v>
          </cell>
          <cell r="K44">
            <v>527127.02</v>
          </cell>
          <cell r="L44">
            <v>21770345.93</v>
          </cell>
        </row>
        <row r="45">
          <cell r="B45">
            <v>4</v>
          </cell>
          <cell r="D45" t="str">
            <v>Pasang Beton bertulang. Plat lantai adk 1:2:3</v>
          </cell>
          <cell r="H45" t="str">
            <v>G.41+3/4 I.2(b)+F.8</v>
          </cell>
          <cell r="I45">
            <v>7</v>
          </cell>
          <cell r="J45" t="str">
            <v>M3</v>
          </cell>
          <cell r="K45">
            <v>3348157.78</v>
          </cell>
          <cell r="L45">
            <v>23437104.460000001</v>
          </cell>
        </row>
        <row r="46">
          <cell r="B46">
            <v>5</v>
          </cell>
          <cell r="D46" t="str">
            <v>Plesteran dinding dan lantai gorong-gorong adk.1:4</v>
          </cell>
          <cell r="H46" t="str">
            <v>G.50q+G.48</v>
          </cell>
          <cell r="I46">
            <v>81.72</v>
          </cell>
          <cell r="J46" t="str">
            <v>M2</v>
          </cell>
          <cell r="K46">
            <v>19133.61</v>
          </cell>
          <cell r="L46">
            <v>1563598.61</v>
          </cell>
        </row>
        <row r="47">
          <cell r="B47">
            <v>6</v>
          </cell>
          <cell r="D47" t="str">
            <v>Pekerjaan latasir tebal 2 cm</v>
          </cell>
          <cell r="H47" t="str">
            <v>K 638</v>
          </cell>
          <cell r="I47">
            <v>70</v>
          </cell>
          <cell r="J47" t="str">
            <v>M2</v>
          </cell>
          <cell r="K47">
            <v>30278.240000000002</v>
          </cell>
          <cell r="L47">
            <v>2119476.7999999998</v>
          </cell>
        </row>
        <row r="48">
          <cell r="D48" t="str">
            <v>SUB TOTAL   V</v>
          </cell>
          <cell r="L48">
            <v>51390454</v>
          </cell>
        </row>
        <row r="49">
          <cell r="B49" t="str">
            <v>VI</v>
          </cell>
          <cell r="D49" t="str">
            <v>PEKERJAAN LAIN-LAIN</v>
          </cell>
        </row>
        <row r="50">
          <cell r="B50">
            <v>1</v>
          </cell>
          <cell r="C50">
            <v>1</v>
          </cell>
          <cell r="D50" t="str">
            <v>Finishing Proyek</v>
          </cell>
          <cell r="H50" t="str">
            <v>-</v>
          </cell>
          <cell r="I50">
            <v>1</v>
          </cell>
          <cell r="J50" t="str">
            <v>Ls</v>
          </cell>
          <cell r="K50">
            <v>620000</v>
          </cell>
          <cell r="L50">
            <v>620000</v>
          </cell>
        </row>
        <row r="51">
          <cell r="D51" t="str">
            <v>SUB TOTAL   VI</v>
          </cell>
          <cell r="L51">
            <v>620000</v>
          </cell>
        </row>
        <row r="52">
          <cell r="B52" t="str">
            <v>A</v>
          </cell>
          <cell r="D52" t="str">
            <v>JUMLAH</v>
          </cell>
          <cell r="L52">
            <v>277108767.94000006</v>
          </cell>
        </row>
        <row r="53">
          <cell r="B53" t="str">
            <v>B</v>
          </cell>
          <cell r="D53" t="str">
            <v>PPN 10% x A</v>
          </cell>
          <cell r="L53">
            <v>27710876.789999999</v>
          </cell>
        </row>
        <row r="54">
          <cell r="B54" t="str">
            <v>C</v>
          </cell>
          <cell r="D54" t="str">
            <v>JUMLAH  (A+B)</v>
          </cell>
          <cell r="L54">
            <v>304819644.73000008</v>
          </cell>
        </row>
        <row r="55">
          <cell r="B55" t="str">
            <v>D</v>
          </cell>
          <cell r="D55" t="str">
            <v>JUMLAH DIBULATKAN</v>
          </cell>
          <cell r="L55">
            <v>304819000</v>
          </cell>
        </row>
        <row r="56">
          <cell r="N56" t="str">
            <v>REKAPITULASI RENCANA ANGGARAN BIAYA</v>
          </cell>
        </row>
        <row r="57">
          <cell r="N57" t="str">
            <v>OWNER'S ESTIMATE</v>
          </cell>
        </row>
        <row r="59">
          <cell r="N59" t="str">
            <v>Kode Paket</v>
          </cell>
          <cell r="P59" t="str">
            <v>:</v>
          </cell>
          <cell r="Q59" t="str">
            <v>C.19</v>
          </cell>
        </row>
        <row r="60">
          <cell r="N60" t="str">
            <v>Kegiatan</v>
          </cell>
          <cell r="P60" t="str">
            <v>:</v>
          </cell>
          <cell r="Q60" t="str">
            <v>Penyehatan Lingkungan Permukiman (PLP)</v>
          </cell>
        </row>
        <row r="61">
          <cell r="N61" t="str">
            <v>Pekerjaan</v>
          </cell>
          <cell r="Q61" t="str">
            <v>Pembuatan Saluran Drainase dan Gorong-gorong Plat Jalan Kelapa, Jalan Cendana, Jalan Jati dan Jalan Akasia Kelurahan Sepang Jaya</v>
          </cell>
        </row>
        <row r="62">
          <cell r="N62" t="str">
            <v>Lokasi</v>
          </cell>
          <cell r="Q62" t="str">
            <v>Kelurahan Sepang Jaya</v>
          </cell>
        </row>
        <row r="63">
          <cell r="N63" t="str">
            <v>Panjanga Rencana</v>
          </cell>
          <cell r="Q63">
            <v>667</v>
          </cell>
          <cell r="R63" t="str">
            <v>M'</v>
          </cell>
        </row>
        <row r="64">
          <cell r="N64" t="str">
            <v>Panjang Realisasi</v>
          </cell>
          <cell r="P64" t="str">
            <v>:</v>
          </cell>
          <cell r="Q64">
            <v>924.6</v>
          </cell>
          <cell r="R64" t="str">
            <v>M'</v>
          </cell>
        </row>
        <row r="65">
          <cell r="N65" t="str">
            <v>Tahun Anggaran</v>
          </cell>
          <cell r="P65" t="str">
            <v>:</v>
          </cell>
          <cell r="Q65" t="str">
            <v>2006</v>
          </cell>
        </row>
        <row r="67">
          <cell r="N67" t="str">
            <v>NO.</v>
          </cell>
          <cell r="P67" t="str">
            <v>URAIAN  PEKERJAAN</v>
          </cell>
          <cell r="V67" t="str">
            <v>TOTAL</v>
          </cell>
        </row>
        <row r="68">
          <cell r="V68" t="str">
            <v>HARGA</v>
          </cell>
        </row>
        <row r="69">
          <cell r="V69" t="str">
            <v>(Rp)</v>
          </cell>
        </row>
        <row r="70">
          <cell r="N70" t="str">
            <v>I</v>
          </cell>
          <cell r="Q70" t="str">
            <v>PEKERJAAN PERSIAPAN</v>
          </cell>
          <cell r="V70">
            <v>2162300</v>
          </cell>
        </row>
        <row r="71">
          <cell r="N71" t="str">
            <v>II</v>
          </cell>
          <cell r="Q71" t="str">
            <v>PEKERJAAN SIRING BARU</v>
          </cell>
          <cell r="V71">
            <v>203862507.46000001</v>
          </cell>
        </row>
        <row r="72">
          <cell r="N72" t="str">
            <v>III</v>
          </cell>
          <cell r="Q72" t="str">
            <v>PEKERJAAN REHAP SIRING LAMA PASANGAN SEBELAH</v>
          </cell>
          <cell r="V72">
            <v>10234040.870000001</v>
          </cell>
        </row>
        <row r="73">
          <cell r="N73" t="str">
            <v>IV</v>
          </cell>
          <cell r="Q73" t="str">
            <v>PEKERJAAN GORONG-GORONG BETON PLAT 0.5 X 0.8 X 6 M 1 UNIT</v>
          </cell>
          <cell r="V73">
            <v>8839465.6100000013</v>
          </cell>
        </row>
        <row r="74">
          <cell r="N74" t="str">
            <v>V</v>
          </cell>
          <cell r="Q74" t="str">
            <v>PEKERJAAN GORONG-GORONG BETON PLAT 0.5 X 0.8 X 5 M 7 UNIT</v>
          </cell>
          <cell r="V74">
            <v>51390454</v>
          </cell>
        </row>
        <row r="75">
          <cell r="N75" t="str">
            <v>VI</v>
          </cell>
          <cell r="Q75" t="str">
            <v>PEKERJAAN LAIN-LAIN</v>
          </cell>
          <cell r="V75">
            <v>620000</v>
          </cell>
        </row>
        <row r="76">
          <cell r="Q76" t="str">
            <v>JUMLAH ( I  s/d.  VI)</v>
          </cell>
          <cell r="V76">
            <v>277108767.94000006</v>
          </cell>
        </row>
        <row r="77">
          <cell r="Q77" t="str">
            <v>PPN 10%</v>
          </cell>
          <cell r="V77">
            <v>27710876.789999999</v>
          </cell>
        </row>
        <row r="78">
          <cell r="Q78" t="str">
            <v>TOTAL</v>
          </cell>
          <cell r="V78">
            <v>304819644.73000008</v>
          </cell>
        </row>
        <row r="79">
          <cell r="Q79" t="str">
            <v>DIBULATKAN</v>
          </cell>
          <cell r="V79">
            <v>304819000</v>
          </cell>
        </row>
        <row r="81">
          <cell r="O81" t="str">
            <v>Terbilang</v>
          </cell>
          <cell r="P81" t="str">
            <v>:</v>
          </cell>
          <cell r="Q81" t="str">
            <v>Tiga Ratus Empat Juta Delapan Ratus Sembilan Belas Ribu Rupiah</v>
          </cell>
        </row>
        <row r="84">
          <cell r="S84" t="str">
            <v>Bandar Lampung,  ...................... 2006</v>
          </cell>
        </row>
        <row r="85">
          <cell r="N85" t="str">
            <v>MENGETAHUI :</v>
          </cell>
        </row>
        <row r="86">
          <cell r="N86" t="str">
            <v>PEJABAT PEMBUAT KOMITMEN/ PEMIMPIN KEGIATAN</v>
          </cell>
          <cell r="S86" t="str">
            <v>PANITIA PENGADAAN JASA KONSTRUKSI</v>
          </cell>
        </row>
        <row r="87">
          <cell r="S87" t="str">
            <v>Ketua</v>
          </cell>
        </row>
        <row r="92">
          <cell r="N92" t="str">
            <v>Hi.NURBUANA,ST</v>
          </cell>
          <cell r="S92" t="str">
            <v>FAISOL MUCHTAR,ST</v>
          </cell>
        </row>
        <row r="93">
          <cell r="N93" t="str">
            <v>NIP.460021600</v>
          </cell>
          <cell r="S93" t="str">
            <v>NIP. 460 021 411</v>
          </cell>
        </row>
      </sheetData>
      <sheetData sheetId="20"/>
      <sheetData sheetId="21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C.21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di belakang LP Rajabasa Kelurahan Rajabasa</v>
          </cell>
        </row>
        <row r="7">
          <cell r="B7" t="str">
            <v>Lokasi</v>
          </cell>
          <cell r="E7" t="str">
            <v>:</v>
          </cell>
          <cell r="F7" t="str">
            <v>Kelurahan Rajabasa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740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296000</v>
          </cell>
          <cell r="L15">
            <v>296000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85000</v>
          </cell>
          <cell r="L16">
            <v>85000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1455500</v>
          </cell>
          <cell r="L19">
            <v>1455500</v>
          </cell>
        </row>
        <row r="20">
          <cell r="D20" t="str">
            <v>SUB TOTAL   I</v>
          </cell>
          <cell r="L20">
            <v>2286500</v>
          </cell>
        </row>
        <row r="21">
          <cell r="B21" t="str">
            <v>II</v>
          </cell>
          <cell r="D21" t="str">
            <v>PEKERJAAN TANAH</v>
          </cell>
        </row>
        <row r="22">
          <cell r="B22">
            <v>1</v>
          </cell>
          <cell r="D22" t="str">
            <v>Galian tanah untuk siring</v>
          </cell>
          <cell r="H22" t="str">
            <v>A.1</v>
          </cell>
          <cell r="I22">
            <v>694.5625</v>
          </cell>
          <cell r="J22" t="str">
            <v>M3</v>
          </cell>
          <cell r="K22">
            <v>19775</v>
          </cell>
          <cell r="L22">
            <v>13734973.439999999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694.5625</v>
          </cell>
          <cell r="J23" t="str">
            <v>M3</v>
          </cell>
          <cell r="K23">
            <v>8660</v>
          </cell>
          <cell r="L23">
            <v>6014911.25</v>
          </cell>
        </row>
        <row r="24">
          <cell r="D24" t="str">
            <v>SUB TOTAL   II</v>
          </cell>
          <cell r="L24">
            <v>19749884.689999998</v>
          </cell>
        </row>
        <row r="25">
          <cell r="B25" t="str">
            <v>III</v>
          </cell>
          <cell r="D25" t="str">
            <v>PEKERJAAN BATU DAN BETON</v>
          </cell>
        </row>
        <row r="26">
          <cell r="B26">
            <v>1</v>
          </cell>
          <cell r="D26" t="str">
            <v>Pasang batu belah adk 1 : 4.</v>
          </cell>
          <cell r="H26" t="str">
            <v>G.32h+G.26(a)</v>
          </cell>
          <cell r="I26">
            <v>410.4375</v>
          </cell>
          <cell r="J26" t="str">
            <v>M3</v>
          </cell>
          <cell r="K26">
            <v>527127.02</v>
          </cell>
          <cell r="L26">
            <v>216352696.27000001</v>
          </cell>
        </row>
        <row r="27">
          <cell r="B27">
            <v>2</v>
          </cell>
          <cell r="D27" t="str">
            <v>Pasang Beton bertulang Plat penutup siring adk 1:2:3 panjang 15 m'</v>
          </cell>
          <cell r="H27" t="str">
            <v>G.41+3/4 I.2(b)+F.8</v>
          </cell>
          <cell r="I27">
            <v>1.8</v>
          </cell>
          <cell r="J27" t="str">
            <v>M3</v>
          </cell>
          <cell r="K27">
            <v>3348157.78</v>
          </cell>
          <cell r="L27">
            <v>6026684</v>
          </cell>
        </row>
        <row r="28">
          <cell r="B28">
            <v>3</v>
          </cell>
          <cell r="D28" t="str">
            <v>Plesteran (bagian atas siring)</v>
          </cell>
          <cell r="H28" t="str">
            <v>G.50q+G.48</v>
          </cell>
          <cell r="I28">
            <v>596</v>
          </cell>
          <cell r="J28" t="str">
            <v>M2</v>
          </cell>
          <cell r="K28">
            <v>19133.61</v>
          </cell>
          <cell r="L28">
            <v>11403631.560000001</v>
          </cell>
        </row>
        <row r="29">
          <cell r="D29" t="str">
            <v>SUB TOTAL   III</v>
          </cell>
          <cell r="L29">
            <v>233783011.83000001</v>
          </cell>
        </row>
        <row r="30">
          <cell r="B30" t="str">
            <v>IV</v>
          </cell>
          <cell r="D30" t="str">
            <v>PEKERJAAN GORONG-GORONG PLAT 0.7 X 0.8 X 5 M 4 UNIT</v>
          </cell>
        </row>
        <row r="31">
          <cell r="B31">
            <v>1</v>
          </cell>
          <cell r="D31" t="str">
            <v>Galian tanah keras</v>
          </cell>
          <cell r="H31" t="str">
            <v>A.2</v>
          </cell>
          <cell r="I31">
            <v>41.8</v>
          </cell>
          <cell r="J31" t="str">
            <v>M3</v>
          </cell>
          <cell r="K31">
            <v>26353</v>
          </cell>
          <cell r="L31">
            <v>1101555.3999999999</v>
          </cell>
        </row>
        <row r="32">
          <cell r="B32">
            <v>2</v>
          </cell>
          <cell r="D32" t="str">
            <v>Urugan tanah bekas galian dan dipadatkan</v>
          </cell>
          <cell r="H32" t="str">
            <v>A.7.2</v>
          </cell>
          <cell r="I32">
            <v>13</v>
          </cell>
          <cell r="J32" t="str">
            <v>M3</v>
          </cell>
          <cell r="K32">
            <v>123146</v>
          </cell>
          <cell r="L32">
            <v>1600898</v>
          </cell>
        </row>
        <row r="33">
          <cell r="B33">
            <v>3</v>
          </cell>
          <cell r="D33" t="str">
            <v>Pasang batu belah adk 1 : 4.</v>
          </cell>
          <cell r="H33" t="str">
            <v>G.32h+G.26(a)</v>
          </cell>
          <cell r="I33">
            <v>24</v>
          </cell>
          <cell r="J33" t="str">
            <v>M3</v>
          </cell>
          <cell r="K33">
            <v>527127.02</v>
          </cell>
          <cell r="L33">
            <v>12651048.48</v>
          </cell>
        </row>
        <row r="34">
          <cell r="B34">
            <v>4</v>
          </cell>
          <cell r="D34" t="str">
            <v>Pasang Beton bertulang. Plat adk 1:2:3</v>
          </cell>
          <cell r="H34" t="str">
            <v>G.41+3/4 I.2(b)+F.8</v>
          </cell>
          <cell r="I34">
            <v>4.8</v>
          </cell>
          <cell r="J34" t="str">
            <v>M3</v>
          </cell>
          <cell r="K34">
            <v>3348157.78</v>
          </cell>
          <cell r="L34">
            <v>16071157.34</v>
          </cell>
        </row>
        <row r="35">
          <cell r="B35">
            <v>5</v>
          </cell>
          <cell r="D35" t="str">
            <v>Plesteran dinding dan lantai gorong-gorong adk.1:4</v>
          </cell>
          <cell r="H35" t="str">
            <v>G.50q+G.48</v>
          </cell>
          <cell r="I35">
            <v>48.32</v>
          </cell>
          <cell r="J35" t="str">
            <v>M2</v>
          </cell>
          <cell r="K35">
            <v>19133.61</v>
          </cell>
          <cell r="L35">
            <v>924536.04</v>
          </cell>
        </row>
        <row r="36">
          <cell r="B36">
            <v>6</v>
          </cell>
          <cell r="D36" t="str">
            <v>Pekerjaan latasir tebal 2 cm</v>
          </cell>
          <cell r="H36" t="str">
            <v>K 638</v>
          </cell>
          <cell r="I36">
            <v>9</v>
          </cell>
          <cell r="J36" t="str">
            <v>M2</v>
          </cell>
          <cell r="K36">
            <v>30278.240000000002</v>
          </cell>
          <cell r="L36">
            <v>272504.15999999997</v>
          </cell>
        </row>
        <row r="37">
          <cell r="D37" t="str">
            <v>SUB TOTAL   IV</v>
          </cell>
          <cell r="L37">
            <v>32621699.419999998</v>
          </cell>
        </row>
        <row r="38">
          <cell r="B38" t="str">
            <v>V</v>
          </cell>
          <cell r="D38" t="str">
            <v>PEKERJAAN LAIN-LAIN</v>
          </cell>
        </row>
        <row r="39">
          <cell r="B39">
            <v>1</v>
          </cell>
          <cell r="C39">
            <v>1</v>
          </cell>
          <cell r="D39" t="str">
            <v>Finishing Proyek</v>
          </cell>
          <cell r="H39" t="str">
            <v>-</v>
          </cell>
          <cell r="I39">
            <v>1</v>
          </cell>
          <cell r="J39" t="str">
            <v>Ls</v>
          </cell>
          <cell r="K39">
            <v>650000</v>
          </cell>
          <cell r="L39">
            <v>650000</v>
          </cell>
        </row>
        <row r="40">
          <cell r="D40" t="str">
            <v>SUB TOTAL   V</v>
          </cell>
          <cell r="L40">
            <v>650000</v>
          </cell>
        </row>
        <row r="41">
          <cell r="B41" t="str">
            <v>A</v>
          </cell>
          <cell r="D41" t="str">
            <v>JUMLAH</v>
          </cell>
          <cell r="L41">
            <v>289091095.93999994</v>
          </cell>
        </row>
        <row r="42">
          <cell r="B42" t="str">
            <v>B</v>
          </cell>
          <cell r="D42" t="str">
            <v>PPN 10% x A</v>
          </cell>
          <cell r="L42">
            <v>28909109.59</v>
          </cell>
        </row>
        <row r="43">
          <cell r="B43" t="str">
            <v>C</v>
          </cell>
          <cell r="D43" t="str">
            <v>JUMLAH  (A+B)</v>
          </cell>
          <cell r="L43">
            <v>318000205.52999991</v>
          </cell>
        </row>
        <row r="44">
          <cell r="B44" t="str">
            <v>D</v>
          </cell>
          <cell r="D44" t="str">
            <v>JUMLAH DIBULATKAN</v>
          </cell>
          <cell r="L44">
            <v>318000000</v>
          </cell>
        </row>
        <row r="45">
          <cell r="N45" t="str">
            <v>REKAPITULASI RENCANA ANGGARAN BIAYA</v>
          </cell>
        </row>
        <row r="46">
          <cell r="N46" t="str">
            <v>OWNER'S ESTIMATE</v>
          </cell>
        </row>
        <row r="48">
          <cell r="N48" t="str">
            <v>Kode Paket</v>
          </cell>
          <cell r="P48" t="str">
            <v>:</v>
          </cell>
          <cell r="Q48" t="str">
            <v>C.21</v>
          </cell>
        </row>
        <row r="49">
          <cell r="N49" t="str">
            <v>Kegiatan</v>
          </cell>
          <cell r="P49" t="str">
            <v>:</v>
          </cell>
          <cell r="Q49" t="str">
            <v>Penyehatan Lingkungan Permukiman (PLP)</v>
          </cell>
        </row>
        <row r="50">
          <cell r="N50" t="str">
            <v>Pekerjaan</v>
          </cell>
          <cell r="Q50" t="str">
            <v>Pembuatan Saluran Drainase di belakang LP Rajabasa Kelurahan Rajabasa</v>
          </cell>
        </row>
        <row r="51">
          <cell r="N51" t="str">
            <v>Lokasi</v>
          </cell>
          <cell r="Q51" t="str">
            <v>Kelurahan Rajabasa</v>
          </cell>
        </row>
        <row r="52">
          <cell r="N52" t="str">
            <v>Panjanga Rencana</v>
          </cell>
          <cell r="Q52">
            <v>500</v>
          </cell>
          <cell r="R52" t="str">
            <v>M'</v>
          </cell>
        </row>
        <row r="53">
          <cell r="N53" t="str">
            <v>Panjang Realisasi</v>
          </cell>
          <cell r="P53" t="str">
            <v>:</v>
          </cell>
          <cell r="Q53">
            <v>740</v>
          </cell>
          <cell r="R53" t="str">
            <v>M'</v>
          </cell>
        </row>
        <row r="54">
          <cell r="N54" t="str">
            <v>Tahun Anggaran</v>
          </cell>
          <cell r="P54" t="str">
            <v>:</v>
          </cell>
          <cell r="Q54" t="str">
            <v>2006</v>
          </cell>
        </row>
        <row r="56">
          <cell r="N56" t="str">
            <v>NO.</v>
          </cell>
          <cell r="P56" t="str">
            <v>URAIAN  PEKERJAAN</v>
          </cell>
          <cell r="V56" t="str">
            <v>TOTAL</v>
          </cell>
        </row>
        <row r="57">
          <cell r="V57" t="str">
            <v>HARGA</v>
          </cell>
        </row>
        <row r="58">
          <cell r="V58" t="str">
            <v>(Rp)</v>
          </cell>
        </row>
        <row r="59">
          <cell r="N59" t="str">
            <v>I</v>
          </cell>
          <cell r="Q59" t="str">
            <v>PEKERJAAN PERSIAPAN</v>
          </cell>
          <cell r="V59">
            <v>2286500</v>
          </cell>
        </row>
        <row r="60">
          <cell r="N60" t="str">
            <v>II</v>
          </cell>
          <cell r="Q60" t="str">
            <v>PEKERJAAN TANAH</v>
          </cell>
          <cell r="V60">
            <v>19749884.689999998</v>
          </cell>
        </row>
        <row r="61">
          <cell r="N61" t="str">
            <v>III</v>
          </cell>
          <cell r="Q61" t="str">
            <v>PEKERJAAN BATU DAN BETON</v>
          </cell>
          <cell r="V61">
            <v>233783011.83000001</v>
          </cell>
        </row>
        <row r="62">
          <cell r="N62" t="str">
            <v>IV</v>
          </cell>
          <cell r="Q62" t="str">
            <v>PEKERJAAN GORONG-GORONG PLAT 0.7 X 0.8 X 5 M 4 UNIT</v>
          </cell>
          <cell r="V62">
            <v>32621699.419999998</v>
          </cell>
        </row>
        <row r="63">
          <cell r="N63" t="str">
            <v>V</v>
          </cell>
          <cell r="Q63" t="str">
            <v>PEKERJAAN LAIN-LAIN</v>
          </cell>
          <cell r="V63">
            <v>650000</v>
          </cell>
        </row>
        <row r="64">
          <cell r="Q64" t="str">
            <v>JUMLAH ( I  s/d.  V)</v>
          </cell>
          <cell r="V64">
            <v>289091095.94</v>
          </cell>
        </row>
        <row r="65">
          <cell r="Q65" t="str">
            <v>PPN 10%</v>
          </cell>
          <cell r="V65">
            <v>28909109.59</v>
          </cell>
        </row>
        <row r="66">
          <cell r="Q66" t="str">
            <v>TOTAL</v>
          </cell>
          <cell r="V66">
            <v>318000205.52999997</v>
          </cell>
        </row>
        <row r="67">
          <cell r="Q67" t="str">
            <v>DIBULATKAN</v>
          </cell>
          <cell r="V67">
            <v>318000000</v>
          </cell>
        </row>
        <row r="69">
          <cell r="O69" t="str">
            <v>Terbilang</v>
          </cell>
          <cell r="P69" t="str">
            <v>:</v>
          </cell>
          <cell r="Q69" t="str">
            <v>Tiga Ratus Delapan Belas Juta Rupiah</v>
          </cell>
        </row>
        <row r="72">
          <cell r="S72" t="str">
            <v>Bandar Lampung,  ...................... 2006</v>
          </cell>
        </row>
        <row r="73">
          <cell r="N73" t="str">
            <v>MENGETAHUI :</v>
          </cell>
        </row>
        <row r="74">
          <cell r="N74" t="str">
            <v>PEJABAT PEMBUAT KOMITMEN/ PEMIMPIN KEGIATAN</v>
          </cell>
          <cell r="S74" t="str">
            <v>PANITIA PENGADAAN JASA KONSTRUKSI</v>
          </cell>
        </row>
        <row r="75">
          <cell r="S75" t="str">
            <v>Ketua</v>
          </cell>
        </row>
        <row r="80">
          <cell r="N80" t="str">
            <v>Hi.NURBUANA,ST</v>
          </cell>
          <cell r="S80" t="str">
            <v>FAISOL MUCHTAR,ST</v>
          </cell>
        </row>
        <row r="81">
          <cell r="N81" t="str">
            <v>NIP.460021600</v>
          </cell>
          <cell r="S81" t="str">
            <v>NIP. 460 021 411</v>
          </cell>
        </row>
      </sheetData>
      <sheetData sheetId="22"/>
      <sheetData sheetId="23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C.23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Jalan Gajah Mada Kelurahan Kota Baru</v>
          </cell>
        </row>
        <row r="7">
          <cell r="B7" t="str">
            <v>Lokasi</v>
          </cell>
          <cell r="E7" t="str">
            <v>:</v>
          </cell>
          <cell r="F7" t="str">
            <v>Kelurahan Kota Baru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619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Dihitung</v>
          </cell>
          <cell r="I15">
            <v>1</v>
          </cell>
          <cell r="J15" t="str">
            <v>Ls</v>
          </cell>
          <cell r="K15">
            <v>247600</v>
          </cell>
          <cell r="L15">
            <v>247600</v>
          </cell>
        </row>
        <row r="16">
          <cell r="B16">
            <v>2</v>
          </cell>
          <cell r="D16" t="str">
            <v>Bongkaran</v>
          </cell>
          <cell r="H16" t="str">
            <v>Dihitung</v>
          </cell>
          <cell r="I16">
            <v>1</v>
          </cell>
          <cell r="J16" t="str">
            <v>Ls</v>
          </cell>
          <cell r="K16">
            <v>2290000</v>
          </cell>
          <cell r="L16">
            <v>2290000</v>
          </cell>
        </row>
        <row r="17">
          <cell r="B17">
            <v>3</v>
          </cell>
          <cell r="D17" t="str">
            <v>Dokumentasi 0 %, 50 % dan 100 %</v>
          </cell>
          <cell r="H17" t="str">
            <v>Dihitung</v>
          </cell>
          <cell r="I17">
            <v>1</v>
          </cell>
          <cell r="J17" t="str">
            <v>Ls</v>
          </cell>
          <cell r="K17">
            <v>85000</v>
          </cell>
          <cell r="L17">
            <v>85000</v>
          </cell>
        </row>
        <row r="18">
          <cell r="B18">
            <v>4</v>
          </cell>
          <cell r="D18" t="str">
            <v>Pasang papan nama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5</v>
          </cell>
          <cell r="D19" t="str">
            <v>Penyediaan obat-obatan 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200000</v>
          </cell>
          <cell r="L19">
            <v>200000</v>
          </cell>
        </row>
        <row r="20">
          <cell r="B20">
            <v>6</v>
          </cell>
          <cell r="D20" t="str">
            <v>Mobilisasi dan demobilisasi</v>
          </cell>
          <cell r="H20" t="str">
            <v>Dihitung</v>
          </cell>
          <cell r="I20">
            <v>1</v>
          </cell>
          <cell r="J20" t="str">
            <v>Ls</v>
          </cell>
          <cell r="K20">
            <v>1623000</v>
          </cell>
          <cell r="L20">
            <v>1623000</v>
          </cell>
        </row>
        <row r="21">
          <cell r="D21" t="str">
            <v>SUB TOTAL   I</v>
          </cell>
          <cell r="L21">
            <v>4695600</v>
          </cell>
        </row>
        <row r="22">
          <cell r="B22" t="str">
            <v>II</v>
          </cell>
          <cell r="D22" t="str">
            <v>PEKERJAAN SIRING</v>
          </cell>
        </row>
        <row r="23">
          <cell r="B23">
            <v>1</v>
          </cell>
          <cell r="D23" t="str">
            <v>Galian tanah untuk siring 30 %</v>
          </cell>
          <cell r="H23" t="str">
            <v>A.1</v>
          </cell>
          <cell r="I23">
            <v>312.92800000000005</v>
          </cell>
          <cell r="J23" t="str">
            <v>M3</v>
          </cell>
          <cell r="K23">
            <v>19775</v>
          </cell>
          <cell r="L23">
            <v>6188151.2000000002</v>
          </cell>
        </row>
        <row r="24">
          <cell r="B24">
            <v>2</v>
          </cell>
          <cell r="D24" t="str">
            <v>Bongkar plat existing</v>
          </cell>
          <cell r="I24">
            <v>1</v>
          </cell>
          <cell r="K24">
            <v>1204000</v>
          </cell>
          <cell r="L24">
            <v>1204000</v>
          </cell>
        </row>
        <row r="25">
          <cell r="B25">
            <v>3</v>
          </cell>
          <cell r="D25" t="str">
            <v>Pasang Beton bertulang. Plat adk 1:2:3 penutup siring depan ruko</v>
          </cell>
          <cell r="H25" t="str">
            <v>G.41+3/4 I.2(b)+F.8</v>
          </cell>
          <cell r="I25">
            <v>14.19</v>
          </cell>
          <cell r="J25" t="str">
            <v>M3</v>
          </cell>
          <cell r="K25">
            <v>3348157.78</v>
          </cell>
          <cell r="L25">
            <v>47510358.899999999</v>
          </cell>
        </row>
        <row r="26">
          <cell r="B26">
            <v>4</v>
          </cell>
          <cell r="D26" t="str">
            <v>Pasang batu belah adk 1 : 4.</v>
          </cell>
          <cell r="H26" t="str">
            <v>G.32h+G.26(a)</v>
          </cell>
          <cell r="I26">
            <v>363.07</v>
          </cell>
          <cell r="J26" t="str">
            <v>M3</v>
          </cell>
          <cell r="K26">
            <v>527127.02</v>
          </cell>
          <cell r="L26">
            <v>191384007.15000001</v>
          </cell>
        </row>
        <row r="27">
          <cell r="B27">
            <v>5</v>
          </cell>
          <cell r="D27" t="str">
            <v>Pasang Beton bertulang. Plat adk 1:2:3 penutup siring jl. masuk rumah</v>
          </cell>
          <cell r="H27" t="str">
            <v>G.41+3/4 I.2(b)+F.8</v>
          </cell>
          <cell r="I27">
            <v>25.278000000000002</v>
          </cell>
          <cell r="J27" t="str">
            <v>M3</v>
          </cell>
          <cell r="K27">
            <v>3348157.78</v>
          </cell>
          <cell r="L27">
            <v>84634732.359999999</v>
          </cell>
        </row>
        <row r="28">
          <cell r="B28">
            <v>6</v>
          </cell>
          <cell r="D28" t="str">
            <v>Plesteran ban siring adk.1:4</v>
          </cell>
          <cell r="H28" t="str">
            <v>G.50q+G.48</v>
          </cell>
          <cell r="I28">
            <v>331.35</v>
          </cell>
          <cell r="J28" t="str">
            <v>M2</v>
          </cell>
          <cell r="K28">
            <v>19133.61</v>
          </cell>
          <cell r="L28">
            <v>6339921.6699999999</v>
          </cell>
        </row>
        <row r="29">
          <cell r="D29" t="str">
            <v>SUB TOTAL   II</v>
          </cell>
          <cell r="L29">
            <v>337261171.28000003</v>
          </cell>
        </row>
        <row r="30">
          <cell r="B30" t="str">
            <v>III</v>
          </cell>
          <cell r="D30" t="str">
            <v>PEKERJAAN GORONG-GORONG PLAT 1.75 X 0.9 X 15 M 1 UNIT</v>
          </cell>
        </row>
        <row r="31">
          <cell r="B31">
            <v>1</v>
          </cell>
          <cell r="D31" t="str">
            <v>Galian tanah keras</v>
          </cell>
          <cell r="H31" t="str">
            <v>A.2</v>
          </cell>
          <cell r="I31">
            <v>68.174999999999997</v>
          </cell>
          <cell r="J31" t="str">
            <v>M3</v>
          </cell>
          <cell r="K31">
            <v>26353</v>
          </cell>
          <cell r="L31">
            <v>1796615.78</v>
          </cell>
        </row>
        <row r="32">
          <cell r="B32">
            <v>2</v>
          </cell>
          <cell r="D32" t="str">
            <v>Urugan tanah bekas galian dan dipadatkan</v>
          </cell>
          <cell r="H32" t="str">
            <v>A.7.2</v>
          </cell>
          <cell r="I32">
            <v>29.475000000000001</v>
          </cell>
          <cell r="J32" t="str">
            <v>M3</v>
          </cell>
          <cell r="K32">
            <v>123146</v>
          </cell>
          <cell r="L32">
            <v>3629728.35</v>
          </cell>
        </row>
        <row r="33">
          <cell r="B33">
            <v>3</v>
          </cell>
          <cell r="D33" t="str">
            <v>Pasang batu belah adk 1 : 4.</v>
          </cell>
          <cell r="H33" t="str">
            <v>G.32h+G.26(a)</v>
          </cell>
          <cell r="I33">
            <v>34.799999999999997</v>
          </cell>
          <cell r="J33" t="str">
            <v>M3</v>
          </cell>
          <cell r="K33">
            <v>527127.02</v>
          </cell>
          <cell r="L33">
            <v>18344020.300000001</v>
          </cell>
        </row>
        <row r="34">
          <cell r="B34">
            <v>4</v>
          </cell>
          <cell r="D34" t="str">
            <v>Pasang Beton bertulang. Plat adk 1:2:3</v>
          </cell>
          <cell r="H34" t="str">
            <v>G.41+3/4 I.2(b)+F.8</v>
          </cell>
          <cell r="I34">
            <v>3.9</v>
          </cell>
          <cell r="J34" t="str">
            <v>M3</v>
          </cell>
          <cell r="K34">
            <v>3348157.78</v>
          </cell>
          <cell r="L34">
            <v>13057815.34</v>
          </cell>
        </row>
        <row r="35">
          <cell r="B35">
            <v>5</v>
          </cell>
          <cell r="D35" t="str">
            <v>Plesteran dinding dan lantai gorong-gorong adk.1:4</v>
          </cell>
          <cell r="H35" t="str">
            <v>G.50q+G.48</v>
          </cell>
          <cell r="I35">
            <v>70.62</v>
          </cell>
          <cell r="J35" t="str">
            <v>M2</v>
          </cell>
          <cell r="K35">
            <v>19133.61</v>
          </cell>
          <cell r="L35">
            <v>1351215.54</v>
          </cell>
        </row>
        <row r="36">
          <cell r="B36">
            <v>6</v>
          </cell>
          <cell r="D36" t="str">
            <v>Pekerjaan latasir tebal 2 cm</v>
          </cell>
          <cell r="H36" t="str">
            <v>K 638</v>
          </cell>
          <cell r="I36">
            <v>31.5</v>
          </cell>
          <cell r="J36" t="str">
            <v>M2</v>
          </cell>
          <cell r="K36">
            <v>30278.240000000002</v>
          </cell>
          <cell r="L36">
            <v>953764.56</v>
          </cell>
        </row>
        <row r="37">
          <cell r="D37" t="str">
            <v>SUB TOTAL   III</v>
          </cell>
          <cell r="L37">
            <v>39133159.869999997</v>
          </cell>
        </row>
        <row r="38">
          <cell r="B38" t="str">
            <v>IV</v>
          </cell>
          <cell r="D38" t="str">
            <v>PEKERJAAN GORONG-GORONG PLAT 1.45 X 0.9 X 6 M 1 UNIT</v>
          </cell>
        </row>
        <row r="39">
          <cell r="B39">
            <v>1</v>
          </cell>
          <cell r="D39" t="str">
            <v>Galian tanah keras</v>
          </cell>
          <cell r="H39" t="str">
            <v>A.2</v>
          </cell>
          <cell r="I39">
            <v>21.15</v>
          </cell>
          <cell r="J39" t="str">
            <v>M3</v>
          </cell>
          <cell r="K39">
            <v>26353</v>
          </cell>
          <cell r="L39">
            <v>557365.94999999995</v>
          </cell>
        </row>
        <row r="40">
          <cell r="B40">
            <v>2</v>
          </cell>
          <cell r="D40" t="str">
            <v>Urugan tanah bekas galian dan dipadatkan</v>
          </cell>
          <cell r="H40" t="str">
            <v>A.7.2</v>
          </cell>
          <cell r="I40">
            <v>8.82</v>
          </cell>
          <cell r="J40" t="str">
            <v>M3</v>
          </cell>
          <cell r="K40">
            <v>123146</v>
          </cell>
          <cell r="L40">
            <v>1086147.72</v>
          </cell>
        </row>
        <row r="41">
          <cell r="B41">
            <v>3</v>
          </cell>
          <cell r="D41" t="str">
            <v>Pasang batu belah adk 1 : 4.</v>
          </cell>
          <cell r="H41" t="str">
            <v>G.32h+G.26(a)</v>
          </cell>
          <cell r="I41">
            <v>10.77</v>
          </cell>
          <cell r="J41" t="str">
            <v>M3</v>
          </cell>
          <cell r="K41">
            <v>527127.02</v>
          </cell>
          <cell r="L41">
            <v>5677158.0099999998</v>
          </cell>
        </row>
        <row r="42">
          <cell r="B42">
            <v>4</v>
          </cell>
          <cell r="D42" t="str">
            <v>Pasang Beton bertulang. Plat adk 1:2:3</v>
          </cell>
          <cell r="H42" t="str">
            <v>G.41+3/4 I.2(b)+F.8</v>
          </cell>
          <cell r="I42">
            <v>1.56</v>
          </cell>
          <cell r="J42" t="str">
            <v>M3</v>
          </cell>
          <cell r="K42">
            <v>3348157.78</v>
          </cell>
          <cell r="L42">
            <v>5223126.1399999997</v>
          </cell>
        </row>
        <row r="43">
          <cell r="B43">
            <v>5</v>
          </cell>
          <cell r="D43" t="str">
            <v>Plesteran dinding dan lantai gorong-gorong adk.1:4</v>
          </cell>
          <cell r="H43" t="str">
            <v>G.50q+G.48</v>
          </cell>
          <cell r="I43">
            <v>26.37</v>
          </cell>
          <cell r="J43" t="str">
            <v>M2</v>
          </cell>
          <cell r="K43">
            <v>19133.61</v>
          </cell>
          <cell r="L43">
            <v>504553.3</v>
          </cell>
        </row>
        <row r="44">
          <cell r="B44">
            <v>6</v>
          </cell>
          <cell r="D44" t="str">
            <v>Pekerjaan latasir tebal 2 cm</v>
          </cell>
          <cell r="H44" t="str">
            <v>K 638</v>
          </cell>
          <cell r="I44">
            <v>11.4</v>
          </cell>
          <cell r="J44" t="str">
            <v>M2</v>
          </cell>
          <cell r="K44">
            <v>30278.240000000002</v>
          </cell>
          <cell r="L44">
            <v>345171.94</v>
          </cell>
        </row>
        <row r="45">
          <cell r="D45" t="str">
            <v>SUB TOTAL   IV</v>
          </cell>
          <cell r="L45">
            <v>13393523.060000001</v>
          </cell>
        </row>
        <row r="46">
          <cell r="B46" t="str">
            <v>V</v>
          </cell>
          <cell r="D46" t="str">
            <v>PEKERJAAN GORONG-GORONG PLAT 1.20 X 0.9 X 13 M 1 UNIT</v>
          </cell>
        </row>
        <row r="47">
          <cell r="B47">
            <v>1</v>
          </cell>
          <cell r="D47" t="str">
            <v>Galian tanah keras</v>
          </cell>
          <cell r="H47" t="str">
            <v>A.2</v>
          </cell>
          <cell r="I47">
            <v>39.65</v>
          </cell>
          <cell r="J47" t="str">
            <v>M3</v>
          </cell>
          <cell r="K47">
            <v>26353</v>
          </cell>
          <cell r="L47">
            <v>1044896.45</v>
          </cell>
        </row>
        <row r="48">
          <cell r="B48">
            <v>2</v>
          </cell>
          <cell r="D48" t="str">
            <v>Urugan tanah bekas galian dan dipadatkan</v>
          </cell>
          <cell r="H48" t="str">
            <v>A.7.2</v>
          </cell>
          <cell r="I48">
            <v>15.86</v>
          </cell>
          <cell r="J48" t="str">
            <v>M3</v>
          </cell>
          <cell r="K48">
            <v>123146</v>
          </cell>
          <cell r="L48">
            <v>1953095.56</v>
          </cell>
        </row>
        <row r="49">
          <cell r="B49">
            <v>3</v>
          </cell>
          <cell r="D49" t="str">
            <v>Pasang batu belah adk 1 : 4.</v>
          </cell>
          <cell r="H49" t="str">
            <v>G.32h+G.26(a)</v>
          </cell>
          <cell r="I49">
            <v>20.41</v>
          </cell>
          <cell r="J49" t="str">
            <v>M3</v>
          </cell>
          <cell r="K49">
            <v>527127.02</v>
          </cell>
          <cell r="L49">
            <v>10758662.48</v>
          </cell>
        </row>
        <row r="50">
          <cell r="B50">
            <v>4</v>
          </cell>
          <cell r="D50" t="str">
            <v>Pasang Beton bertulang. Plat adk 1:2:3</v>
          </cell>
          <cell r="H50" t="str">
            <v>G.41+3/4 I.2(b)+F.8</v>
          </cell>
          <cell r="I50">
            <v>3.38</v>
          </cell>
          <cell r="J50" t="str">
            <v>M3</v>
          </cell>
          <cell r="K50">
            <v>3348157.78</v>
          </cell>
          <cell r="L50">
            <v>11316773.300000001</v>
          </cell>
        </row>
        <row r="51">
          <cell r="B51">
            <v>5</v>
          </cell>
          <cell r="D51" t="str">
            <v>Plesteran dinding dan lantai gorong-gorong adk.1:4</v>
          </cell>
          <cell r="H51" t="str">
            <v>G.50q+G.48</v>
          </cell>
          <cell r="I51">
            <v>46.02</v>
          </cell>
          <cell r="J51" t="str">
            <v>M2</v>
          </cell>
          <cell r="K51">
            <v>19133.61</v>
          </cell>
          <cell r="L51">
            <v>880528.73</v>
          </cell>
        </row>
        <row r="52">
          <cell r="B52">
            <v>6</v>
          </cell>
          <cell r="D52" t="str">
            <v>Pekerjaan latasir tebal 2 cm</v>
          </cell>
          <cell r="H52" t="str">
            <v>K 638</v>
          </cell>
          <cell r="I52">
            <v>24.7</v>
          </cell>
          <cell r="J52" t="str">
            <v>M2</v>
          </cell>
          <cell r="K52">
            <v>30278.240000000002</v>
          </cell>
          <cell r="L52">
            <v>747872.53</v>
          </cell>
        </row>
        <row r="53">
          <cell r="D53" t="str">
            <v>SUB TOTAL   V</v>
          </cell>
          <cell r="L53">
            <v>26701829.050000001</v>
          </cell>
        </row>
        <row r="54">
          <cell r="B54" t="str">
            <v>VI</v>
          </cell>
          <cell r="D54" t="str">
            <v>PEKERJAAN GORONG-GORONG PLAT 1.10 X 0.9 X 5 M 1 UNIT</v>
          </cell>
        </row>
        <row r="55">
          <cell r="B55">
            <v>1</v>
          </cell>
          <cell r="D55" t="str">
            <v>Galian tanah keras</v>
          </cell>
          <cell r="H55" t="str">
            <v>A.2</v>
          </cell>
          <cell r="I55">
            <v>14.3</v>
          </cell>
          <cell r="J55" t="str">
            <v>M3</v>
          </cell>
          <cell r="K55">
            <v>26353</v>
          </cell>
          <cell r="L55">
            <v>376847.9</v>
          </cell>
        </row>
        <row r="56">
          <cell r="B56">
            <v>2</v>
          </cell>
          <cell r="D56" t="str">
            <v>Urugan tanah bekas galian dan dipadatkan</v>
          </cell>
          <cell r="H56" t="str">
            <v>A.7.2</v>
          </cell>
          <cell r="I56">
            <v>5.6</v>
          </cell>
          <cell r="J56" t="str">
            <v>M3</v>
          </cell>
          <cell r="K56">
            <v>123146</v>
          </cell>
          <cell r="L56">
            <v>689617.6</v>
          </cell>
        </row>
        <row r="57">
          <cell r="B57">
            <v>3</v>
          </cell>
          <cell r="D57" t="str">
            <v>Pasang batu belah adk 1 : 4.</v>
          </cell>
          <cell r="H57" t="str">
            <v>G.32h+G.26(a)</v>
          </cell>
          <cell r="I57">
            <v>7.4</v>
          </cell>
          <cell r="J57" t="str">
            <v>M3</v>
          </cell>
          <cell r="K57">
            <v>527127.02</v>
          </cell>
          <cell r="L57">
            <v>3900739.95</v>
          </cell>
        </row>
        <row r="58">
          <cell r="B58">
            <v>4</v>
          </cell>
          <cell r="D58" t="str">
            <v>Pasang Beton bertulang. Plat adk 1:2:3</v>
          </cell>
          <cell r="H58" t="str">
            <v>G.41+3/4 I.2(b)+F.8</v>
          </cell>
          <cell r="I58">
            <v>1.3</v>
          </cell>
          <cell r="J58" t="str">
            <v>M3</v>
          </cell>
          <cell r="K58">
            <v>3348157.78</v>
          </cell>
          <cell r="L58">
            <v>4352605.1100000003</v>
          </cell>
        </row>
        <row r="59">
          <cell r="B59">
            <v>5</v>
          </cell>
          <cell r="D59" t="str">
            <v>Plesteran dinding dan lantai gorong-gorong adk.1:4</v>
          </cell>
          <cell r="H59" t="str">
            <v>G.50q+G.48</v>
          </cell>
          <cell r="I59">
            <v>18.440000000000001</v>
          </cell>
          <cell r="J59" t="str">
            <v>M2</v>
          </cell>
          <cell r="K59">
            <v>19133.61</v>
          </cell>
          <cell r="L59">
            <v>352823.77</v>
          </cell>
        </row>
        <row r="60">
          <cell r="D60" t="str">
            <v>SUB TOTAL   VI</v>
          </cell>
          <cell r="L60">
            <v>9672634.3300000001</v>
          </cell>
        </row>
        <row r="61">
          <cell r="B61" t="str">
            <v>VII</v>
          </cell>
          <cell r="D61" t="str">
            <v>PEKERJAAN GORONG-GORONG PLAT 0.95 X 0.9 X 3.5 M 1 UNIT</v>
          </cell>
        </row>
        <row r="62">
          <cell r="B62">
            <v>1</v>
          </cell>
          <cell r="D62" t="str">
            <v>Galian tanah keras</v>
          </cell>
          <cell r="H62" t="str">
            <v>A.2</v>
          </cell>
          <cell r="I62">
            <v>10.272500000000001</v>
          </cell>
          <cell r="J62" t="str">
            <v>M3</v>
          </cell>
          <cell r="K62">
            <v>26353</v>
          </cell>
          <cell r="L62">
            <v>270711.19</v>
          </cell>
        </row>
        <row r="63">
          <cell r="B63">
            <v>2</v>
          </cell>
          <cell r="D63" t="str">
            <v>Urugan tanah bekas galian dan dipadatkan</v>
          </cell>
          <cell r="H63" t="str">
            <v>A.7.2</v>
          </cell>
          <cell r="I63">
            <v>4.6550000000000002</v>
          </cell>
          <cell r="J63" t="str">
            <v>M3</v>
          </cell>
          <cell r="K63">
            <v>123146</v>
          </cell>
          <cell r="L63">
            <v>573244.63</v>
          </cell>
        </row>
        <row r="64">
          <cell r="B64">
            <v>3</v>
          </cell>
          <cell r="D64" t="str">
            <v>Pasang batu belah adk 1 : 4.</v>
          </cell>
          <cell r="H64" t="str">
            <v>G.32h+G.26(a)</v>
          </cell>
          <cell r="I64">
            <v>4.7074999999999996</v>
          </cell>
          <cell r="J64" t="str">
            <v>M3</v>
          </cell>
          <cell r="K64">
            <v>527127.02</v>
          </cell>
          <cell r="L64">
            <v>2481450.4500000002</v>
          </cell>
        </row>
        <row r="65">
          <cell r="B65">
            <v>4</v>
          </cell>
          <cell r="D65" t="str">
            <v>Pasang Beton bertulang. Plat adk 1:2:3</v>
          </cell>
          <cell r="H65" t="str">
            <v>G.41+3/4 I.2(b)+F.8</v>
          </cell>
          <cell r="I65">
            <v>0.91</v>
          </cell>
          <cell r="J65" t="str">
            <v>M3</v>
          </cell>
          <cell r="K65">
            <v>3348157.78</v>
          </cell>
          <cell r="L65">
            <v>3046823.58</v>
          </cell>
        </row>
        <row r="66">
          <cell r="B66">
            <v>5</v>
          </cell>
          <cell r="D66" t="str">
            <v>Plesteran dinding dan lantai gorong-gorong adk.1:4</v>
          </cell>
          <cell r="H66" t="str">
            <v>G.50q+G.48</v>
          </cell>
          <cell r="I66">
            <v>12.47</v>
          </cell>
          <cell r="J66" t="str">
            <v>M2</v>
          </cell>
          <cell r="K66">
            <v>19133.61</v>
          </cell>
          <cell r="L66">
            <v>238596.12</v>
          </cell>
        </row>
        <row r="67">
          <cell r="D67" t="str">
            <v>SUB TOTAL   VII</v>
          </cell>
          <cell r="L67">
            <v>6610825.9700000007</v>
          </cell>
        </row>
        <row r="68">
          <cell r="B68" t="str">
            <v>VIII</v>
          </cell>
          <cell r="D68" t="str">
            <v>PEKERJAAN GORONG-GORONG PLAT 0.8 X 0.9 X 5.5 M 1 UNIT</v>
          </cell>
        </row>
        <row r="69">
          <cell r="B69">
            <v>1</v>
          </cell>
          <cell r="D69" t="str">
            <v>Galian tanah keras</v>
          </cell>
          <cell r="H69" t="str">
            <v>A.2</v>
          </cell>
          <cell r="I69">
            <v>15.0975</v>
          </cell>
          <cell r="J69" t="str">
            <v>M3</v>
          </cell>
          <cell r="K69">
            <v>26353</v>
          </cell>
          <cell r="L69">
            <v>397864.42</v>
          </cell>
        </row>
        <row r="70">
          <cell r="B70">
            <v>2</v>
          </cell>
          <cell r="D70" t="str">
            <v>Urugan tanah bekas galian dan dipadatkan</v>
          </cell>
          <cell r="H70" t="str">
            <v>A.7.2</v>
          </cell>
          <cell r="I70">
            <v>6.49</v>
          </cell>
          <cell r="J70" t="str">
            <v>M3</v>
          </cell>
          <cell r="K70">
            <v>123146</v>
          </cell>
          <cell r="L70">
            <v>799217.54</v>
          </cell>
        </row>
        <row r="71">
          <cell r="B71">
            <v>3</v>
          </cell>
          <cell r="D71" t="str">
            <v>Pasang batu belah adk 1 : 4.</v>
          </cell>
          <cell r="H71" t="str">
            <v>G.32h+G.26(a)</v>
          </cell>
          <cell r="I71">
            <v>7.1775000000000002</v>
          </cell>
          <cell r="J71" t="str">
            <v>M3</v>
          </cell>
          <cell r="K71">
            <v>527127.02</v>
          </cell>
          <cell r="L71">
            <v>3783454.19</v>
          </cell>
        </row>
        <row r="72">
          <cell r="B72">
            <v>4</v>
          </cell>
          <cell r="D72" t="str">
            <v>Pasang Beton bertulang. Plat K 225</v>
          </cell>
          <cell r="H72" t="str">
            <v>G.41+3/4 I.2(b)+F.8</v>
          </cell>
          <cell r="I72">
            <v>1.43</v>
          </cell>
          <cell r="J72" t="str">
            <v>M3</v>
          </cell>
          <cell r="K72">
            <v>3348157.78</v>
          </cell>
          <cell r="L72">
            <v>4787865.63</v>
          </cell>
        </row>
        <row r="73">
          <cell r="B73">
            <v>5</v>
          </cell>
          <cell r="D73" t="str">
            <v>Plesteran dinding dan lantai gorong-gorong adk.1:4</v>
          </cell>
          <cell r="H73" t="str">
            <v>G.50q+G.48</v>
          </cell>
          <cell r="I73">
            <v>16.25</v>
          </cell>
          <cell r="J73" t="str">
            <v>M2</v>
          </cell>
          <cell r="K73">
            <v>19133.61</v>
          </cell>
          <cell r="L73">
            <v>310921.15999999997</v>
          </cell>
        </row>
        <row r="74">
          <cell r="D74" t="str">
            <v>SUB TOTAL   VIII</v>
          </cell>
          <cell r="L74">
            <v>10079322.940000001</v>
          </cell>
        </row>
        <row r="75">
          <cell r="B75" t="str">
            <v>IX</v>
          </cell>
          <cell r="D75" t="str">
            <v>PEKERJAAN GORONG-GORONG PLAT 0.9 X 0.9 X 22 M 1 UNIT</v>
          </cell>
        </row>
        <row r="76">
          <cell r="B76">
            <v>1</v>
          </cell>
          <cell r="D76" t="str">
            <v>Galian tanah keras</v>
          </cell>
          <cell r="H76" t="str">
            <v>A.2</v>
          </cell>
          <cell r="I76">
            <v>64.569999999999993</v>
          </cell>
          <cell r="J76" t="str">
            <v>M3</v>
          </cell>
          <cell r="K76">
            <v>26353</v>
          </cell>
          <cell r="L76">
            <v>1701613.21</v>
          </cell>
        </row>
        <row r="77">
          <cell r="B77">
            <v>2</v>
          </cell>
          <cell r="D77" t="str">
            <v>Urugan tanah bekas galian dan dipadatkan</v>
          </cell>
          <cell r="H77" t="str">
            <v>A.7.2</v>
          </cell>
          <cell r="I77">
            <v>28.16</v>
          </cell>
          <cell r="J77" t="str">
            <v>M3</v>
          </cell>
          <cell r="K77">
            <v>123146</v>
          </cell>
          <cell r="L77">
            <v>3467791.36</v>
          </cell>
        </row>
        <row r="78">
          <cell r="B78">
            <v>3</v>
          </cell>
          <cell r="D78" t="str">
            <v>Pasang batu belah adk 1 : 4.</v>
          </cell>
          <cell r="H78" t="str">
            <v>G.32h+G.26(a)</v>
          </cell>
          <cell r="I78">
            <v>30.69</v>
          </cell>
          <cell r="J78" t="str">
            <v>M3</v>
          </cell>
          <cell r="K78">
            <v>527127.02</v>
          </cell>
          <cell r="L78">
            <v>16177528.24</v>
          </cell>
        </row>
        <row r="79">
          <cell r="B79">
            <v>4</v>
          </cell>
          <cell r="D79" t="str">
            <v>Pasang Beton bertulang. Plat adk 1:2:3</v>
          </cell>
          <cell r="H79" t="str">
            <v>G.41+3/4 I.2(b)+F.8</v>
          </cell>
          <cell r="I79">
            <v>5.72</v>
          </cell>
          <cell r="J79" t="str">
            <v>M3</v>
          </cell>
          <cell r="K79">
            <v>3348157.78</v>
          </cell>
          <cell r="L79">
            <v>19151462.5</v>
          </cell>
        </row>
        <row r="80">
          <cell r="B80">
            <v>5</v>
          </cell>
          <cell r="D80" t="str">
            <v>Plesteran dinding dan lantai gorong-gorong adk.1:4</v>
          </cell>
          <cell r="H80" t="str">
            <v>G.50q+G.48</v>
          </cell>
          <cell r="I80">
            <v>62.08</v>
          </cell>
          <cell r="J80" t="str">
            <v>M2</v>
          </cell>
          <cell r="K80">
            <v>19133.61</v>
          </cell>
          <cell r="L80">
            <v>1187814.51</v>
          </cell>
        </row>
        <row r="81">
          <cell r="B81">
            <v>6</v>
          </cell>
          <cell r="D81" t="str">
            <v>Pekerjaan latasir tebal 2 cm</v>
          </cell>
          <cell r="H81" t="str">
            <v>K 638</v>
          </cell>
          <cell r="I81">
            <v>41.8</v>
          </cell>
          <cell r="J81" t="str">
            <v>M2</v>
          </cell>
          <cell r="K81">
            <v>30278.240000000002</v>
          </cell>
          <cell r="L81">
            <v>1265630.43</v>
          </cell>
        </row>
        <row r="82">
          <cell r="D82" t="str">
            <v>SUB TOTAL   IX</v>
          </cell>
          <cell r="L82">
            <v>42951840.25</v>
          </cell>
        </row>
        <row r="83">
          <cell r="B83" t="str">
            <v>X</v>
          </cell>
          <cell r="D83" t="str">
            <v>PEKERJAAN GORONG-GORONG PLAT 0.95 X 0.9 X 26 M 1 UNIT</v>
          </cell>
        </row>
        <row r="84">
          <cell r="B84">
            <v>1</v>
          </cell>
          <cell r="D84" t="str">
            <v>Galian tanah keras</v>
          </cell>
          <cell r="H84" t="str">
            <v>A.2</v>
          </cell>
          <cell r="I84">
            <v>78.78</v>
          </cell>
          <cell r="J84" t="str">
            <v>M3</v>
          </cell>
          <cell r="K84">
            <v>26353</v>
          </cell>
          <cell r="L84">
            <v>2076089.34</v>
          </cell>
        </row>
        <row r="85">
          <cell r="B85">
            <v>2</v>
          </cell>
          <cell r="D85" t="str">
            <v>Urugan tanah bekas galian dan dipadatkan</v>
          </cell>
          <cell r="H85" t="str">
            <v>A.7.2</v>
          </cell>
          <cell r="I85">
            <v>34.58</v>
          </cell>
          <cell r="J85" t="str">
            <v>M3</v>
          </cell>
          <cell r="K85">
            <v>123146</v>
          </cell>
          <cell r="L85">
            <v>4258388.68</v>
          </cell>
        </row>
        <row r="86">
          <cell r="B86">
            <v>3</v>
          </cell>
          <cell r="D86" t="str">
            <v>Pasang batu belah adk 1 : 4.</v>
          </cell>
          <cell r="H86" t="str">
            <v>G.32h+G.26(a)</v>
          </cell>
          <cell r="I86">
            <v>37.44</v>
          </cell>
          <cell r="J86" t="str">
            <v>M3</v>
          </cell>
          <cell r="K86">
            <v>527127.02</v>
          </cell>
          <cell r="L86">
            <v>19735635.629999999</v>
          </cell>
        </row>
        <row r="87">
          <cell r="B87">
            <v>4</v>
          </cell>
          <cell r="D87" t="str">
            <v>Pasang Beton bertulang. Plat adk 1:2:3</v>
          </cell>
          <cell r="H87" t="str">
            <v>G.41+3/4 I.2(b)+F.8</v>
          </cell>
          <cell r="I87">
            <v>6.76</v>
          </cell>
          <cell r="J87" t="str">
            <v>M3</v>
          </cell>
          <cell r="K87">
            <v>3348157.78</v>
          </cell>
          <cell r="L87">
            <v>22633546.59</v>
          </cell>
        </row>
        <row r="88">
          <cell r="B88">
            <v>5</v>
          </cell>
          <cell r="D88" t="str">
            <v>Plesteran dinding dan lantai gorong-gorong adk.1:4</v>
          </cell>
          <cell r="H88" t="str">
            <v>G.50q+G.48</v>
          </cell>
          <cell r="I88">
            <v>75.569999999999993</v>
          </cell>
          <cell r="J88" t="str">
            <v>M2</v>
          </cell>
          <cell r="K88">
            <v>19133.61</v>
          </cell>
          <cell r="L88">
            <v>1445926.91</v>
          </cell>
        </row>
        <row r="89">
          <cell r="B89">
            <v>6</v>
          </cell>
          <cell r="D89" t="str">
            <v>Pekerjaan latasir tebal 2 cm</v>
          </cell>
          <cell r="H89" t="str">
            <v>K 638</v>
          </cell>
          <cell r="I89">
            <v>49.4</v>
          </cell>
          <cell r="J89" t="str">
            <v>M2</v>
          </cell>
          <cell r="K89">
            <v>30278.240000000002</v>
          </cell>
          <cell r="L89">
            <v>1495745.06</v>
          </cell>
        </row>
        <row r="90">
          <cell r="D90" t="str">
            <v>SUB TOTAL   X</v>
          </cell>
          <cell r="L90">
            <v>51645332.209999993</v>
          </cell>
        </row>
        <row r="91">
          <cell r="B91" t="str">
            <v>XI</v>
          </cell>
          <cell r="D91" t="str">
            <v>PEKERJAAN LAIN-LAIN</v>
          </cell>
        </row>
        <row r="92">
          <cell r="B92">
            <v>1</v>
          </cell>
          <cell r="C92">
            <v>1</v>
          </cell>
          <cell r="D92" t="str">
            <v>Finishing Proyek</v>
          </cell>
          <cell r="H92" t="str">
            <v>-</v>
          </cell>
          <cell r="I92">
            <v>1</v>
          </cell>
          <cell r="J92" t="str">
            <v>Ls</v>
          </cell>
          <cell r="K92">
            <v>600000</v>
          </cell>
          <cell r="L92">
            <v>600000</v>
          </cell>
        </row>
        <row r="93">
          <cell r="B93">
            <v>2</v>
          </cell>
          <cell r="D93" t="str">
            <v>Pembuangan ex galian tanah</v>
          </cell>
          <cell r="H93" t="str">
            <v>A.6</v>
          </cell>
          <cell r="I93">
            <v>312.92800000000005</v>
          </cell>
          <cell r="J93" t="str">
            <v>M3</v>
          </cell>
          <cell r="K93">
            <v>8660</v>
          </cell>
          <cell r="L93">
            <v>2709956.48</v>
          </cell>
        </row>
        <row r="94">
          <cell r="D94" t="str">
            <v>SUB TOTAL   XI</v>
          </cell>
          <cell r="L94">
            <v>3309956.48</v>
          </cell>
        </row>
        <row r="95">
          <cell r="B95" t="str">
            <v>A</v>
          </cell>
          <cell r="D95" t="str">
            <v>JUMLAH</v>
          </cell>
          <cell r="L95">
            <v>545455195.44000006</v>
          </cell>
        </row>
        <row r="96">
          <cell r="B96" t="str">
            <v>B</v>
          </cell>
          <cell r="D96" t="str">
            <v>PPN 10% x A</v>
          </cell>
          <cell r="L96">
            <v>54545519.539999999</v>
          </cell>
        </row>
        <row r="97">
          <cell r="B97" t="str">
            <v>C</v>
          </cell>
          <cell r="D97" t="str">
            <v>JUMLAH  (A+B)</v>
          </cell>
          <cell r="L97">
            <v>600000714.98000002</v>
          </cell>
        </row>
        <row r="98">
          <cell r="B98" t="str">
            <v>D</v>
          </cell>
          <cell r="D98" t="str">
            <v>JUMLAH DIBULATKAN</v>
          </cell>
          <cell r="L98">
            <v>600000000</v>
          </cell>
        </row>
        <row r="99">
          <cell r="N99" t="str">
            <v>REKAPITULASI RENCANA ANGGARAN BIAYA</v>
          </cell>
        </row>
        <row r="100">
          <cell r="N100" t="str">
            <v>OWNER'S ESTIMATE</v>
          </cell>
        </row>
        <row r="102">
          <cell r="N102" t="str">
            <v>Kode Paket</v>
          </cell>
          <cell r="P102" t="str">
            <v>:</v>
          </cell>
          <cell r="Q102" t="str">
            <v>C.23</v>
          </cell>
        </row>
        <row r="103">
          <cell r="N103" t="str">
            <v>Kegiatan</v>
          </cell>
          <cell r="P103" t="str">
            <v>:</v>
          </cell>
          <cell r="Q103" t="str">
            <v>Penyehatan Lingkungan Permukiman (PLP)</v>
          </cell>
        </row>
        <row r="104">
          <cell r="N104" t="str">
            <v>Pekerjaan</v>
          </cell>
          <cell r="Q104" t="str">
            <v>Pembuatan Saluran Drainase Jalan Gajah Mada Kelurahan Kota Baru</v>
          </cell>
        </row>
        <row r="105">
          <cell r="N105" t="str">
            <v>Lokasi</v>
          </cell>
          <cell r="Q105" t="str">
            <v>Kelurahan Kota Baru</v>
          </cell>
        </row>
        <row r="106">
          <cell r="N106" t="str">
            <v>Panjanga Rencana</v>
          </cell>
          <cell r="Q106">
            <v>500</v>
          </cell>
          <cell r="R106" t="str">
            <v>M'</v>
          </cell>
        </row>
        <row r="107">
          <cell r="N107" t="str">
            <v>Panjang Realisasi</v>
          </cell>
          <cell r="P107" t="str">
            <v>:</v>
          </cell>
          <cell r="Q107">
            <v>619</v>
          </cell>
          <cell r="R107" t="str">
            <v>M'</v>
          </cell>
        </row>
        <row r="108">
          <cell r="N108" t="str">
            <v>Tahun Anggaran</v>
          </cell>
          <cell r="P108" t="str">
            <v>:</v>
          </cell>
          <cell r="Q108" t="str">
            <v>2006</v>
          </cell>
        </row>
        <row r="110">
          <cell r="N110" t="str">
            <v>NO.</v>
          </cell>
          <cell r="P110" t="str">
            <v>URAIAN  PEKERJAAN</v>
          </cell>
          <cell r="V110" t="str">
            <v>TOTAL</v>
          </cell>
        </row>
        <row r="111">
          <cell r="V111" t="str">
            <v>HARGA</v>
          </cell>
        </row>
        <row r="112">
          <cell r="V112" t="str">
            <v>(Rp)</v>
          </cell>
        </row>
        <row r="113">
          <cell r="N113" t="str">
            <v>I</v>
          </cell>
          <cell r="Q113" t="str">
            <v>PEKERJAAN PERSIAPAN</v>
          </cell>
          <cell r="V113">
            <v>4695600</v>
          </cell>
        </row>
        <row r="114">
          <cell r="N114" t="str">
            <v>II</v>
          </cell>
          <cell r="Q114" t="str">
            <v>PEKERJAAN SIRING</v>
          </cell>
          <cell r="V114">
            <v>337261171.28000003</v>
          </cell>
        </row>
        <row r="115">
          <cell r="N115" t="str">
            <v>III</v>
          </cell>
          <cell r="Q115" t="str">
            <v>PEKERJAAN GORONG-GORONG PLAT 1.75 X 0.9 X 15 M 1 UNIT</v>
          </cell>
          <cell r="V115">
            <v>39133159.869999997</v>
          </cell>
        </row>
        <row r="116">
          <cell r="N116" t="str">
            <v>IV</v>
          </cell>
          <cell r="Q116" t="str">
            <v>PEKERJAAN GORONG-GORONG PLAT 1.45 X 0.9 X 6 M 1 UNIT</v>
          </cell>
          <cell r="V116">
            <v>13393523.060000001</v>
          </cell>
        </row>
        <row r="117">
          <cell r="N117" t="str">
            <v>V</v>
          </cell>
          <cell r="Q117" t="str">
            <v>PEKERJAAN GORONG-GORONG PLAT 1.20 X 0.9 X 13 M 1 UNIT</v>
          </cell>
          <cell r="V117">
            <v>26701829.050000001</v>
          </cell>
        </row>
        <row r="118">
          <cell r="N118" t="str">
            <v>VI</v>
          </cell>
          <cell r="Q118" t="str">
            <v>PEKERJAAN GORONG-GORONG PLAT 1.10 X 0.9 X 5 M 1 UNIT</v>
          </cell>
          <cell r="V118">
            <v>9672634.3300000001</v>
          </cell>
        </row>
        <row r="119">
          <cell r="N119" t="str">
            <v>VII</v>
          </cell>
          <cell r="Q119" t="str">
            <v>PEKERJAAN GORONG-GORONG PLAT 0.95 X 0.9 X 3.5 M 1 UNIT</v>
          </cell>
          <cell r="V119">
            <v>6610825.9700000007</v>
          </cell>
        </row>
        <row r="120">
          <cell r="N120" t="str">
            <v>VIII</v>
          </cell>
          <cell r="Q120" t="str">
            <v>PEKERJAAN GORONG-GORONG PLAT 0.8 X 0.9 X 5.5 M 1 UNIT</v>
          </cell>
          <cell r="V120">
            <v>10079322.940000001</v>
          </cell>
        </row>
        <row r="121">
          <cell r="N121" t="str">
            <v>IX</v>
          </cell>
          <cell r="Q121" t="str">
            <v>PEKERJAAN GORONG-GORONG PLAT 0.9 X 0.9 X 22 M 1 UNIT</v>
          </cell>
          <cell r="V121">
            <v>42951840.25</v>
          </cell>
        </row>
        <row r="122">
          <cell r="N122" t="str">
            <v>X</v>
          </cell>
          <cell r="Q122" t="str">
            <v>PEKERJAAN GORONG-GORONG PLAT 0.95 X 0.9 X 26 M 1 UNIT</v>
          </cell>
          <cell r="V122">
            <v>51645332.209999993</v>
          </cell>
        </row>
        <row r="123">
          <cell r="N123" t="str">
            <v>XI</v>
          </cell>
          <cell r="Q123" t="str">
            <v>PEKERJAAN LAIN-LAIN</v>
          </cell>
          <cell r="V123">
            <v>3309956.48</v>
          </cell>
        </row>
        <row r="124">
          <cell r="Q124" t="str">
            <v>JUMLAH ( I  s/d.  XI)</v>
          </cell>
          <cell r="V124">
            <v>545455195.44000006</v>
          </cell>
        </row>
        <row r="125">
          <cell r="Q125" t="str">
            <v>PPN 10%</v>
          </cell>
          <cell r="V125">
            <v>54545519.539999999</v>
          </cell>
        </row>
        <row r="126">
          <cell r="Q126" t="str">
            <v>TOTAL</v>
          </cell>
          <cell r="V126">
            <v>600000714.98000002</v>
          </cell>
        </row>
        <row r="127">
          <cell r="Q127" t="str">
            <v>DIBULATKAN</v>
          </cell>
          <cell r="V127">
            <v>600000000</v>
          </cell>
        </row>
        <row r="129">
          <cell r="O129" t="str">
            <v>Terbilang</v>
          </cell>
          <cell r="P129" t="str">
            <v>:</v>
          </cell>
          <cell r="Q129" t="str">
            <v>Enam Ratus Juta Rupiah</v>
          </cell>
        </row>
        <row r="132">
          <cell r="S132" t="str">
            <v>Bandar Lampung,  ...................... 2006</v>
          </cell>
        </row>
        <row r="133">
          <cell r="N133" t="str">
            <v>MENGETAHUI :</v>
          </cell>
        </row>
        <row r="134">
          <cell r="N134" t="str">
            <v>PEJABAT PEMBUAT KOMITMEN/ PEMIMPIN KEGIATAN</v>
          </cell>
          <cell r="S134" t="str">
            <v>PANITIA PENGADAAN JASA KONSTRUKSI</v>
          </cell>
        </row>
        <row r="135">
          <cell r="S135" t="str">
            <v>Ketua</v>
          </cell>
        </row>
        <row r="140">
          <cell r="N140" t="str">
            <v>Hi.NURBUANA,ST</v>
          </cell>
          <cell r="S140" t="str">
            <v>FAISOL MUCHTAR,ST</v>
          </cell>
        </row>
        <row r="141">
          <cell r="N141" t="str">
            <v>NIP.460021600</v>
          </cell>
          <cell r="S141" t="str">
            <v>NIP. 460 021 411</v>
          </cell>
        </row>
      </sheetData>
      <sheetData sheetId="24"/>
      <sheetData sheetId="25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C.25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Sungai Way Balau (sekitar SDN 4 Labuhan Ratu)</v>
          </cell>
        </row>
        <row r="7">
          <cell r="B7" t="str">
            <v>Lokasi</v>
          </cell>
          <cell r="E7" t="str">
            <v>:</v>
          </cell>
          <cell r="F7" t="str">
            <v>Kelurahan Labuhan Ratu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498.5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pengkuran ulang</v>
          </cell>
          <cell r="H15" t="str">
            <v>Ls</v>
          </cell>
          <cell r="I15">
            <v>1</v>
          </cell>
          <cell r="K15">
            <v>199400</v>
          </cell>
          <cell r="L15">
            <v>199400</v>
          </cell>
        </row>
        <row r="16">
          <cell r="B16">
            <v>2</v>
          </cell>
          <cell r="D16" t="str">
            <v>Pasang papan nama proyek</v>
          </cell>
          <cell r="H16" t="str">
            <v>Ls</v>
          </cell>
          <cell r="I16">
            <v>1</v>
          </cell>
          <cell r="K16">
            <v>250000</v>
          </cell>
          <cell r="L16">
            <v>250000</v>
          </cell>
        </row>
        <row r="17">
          <cell r="B17">
            <v>3</v>
          </cell>
          <cell r="D17" t="str">
            <v>Penyediaan obat-obatan P3K</v>
          </cell>
          <cell r="H17" t="str">
            <v>Ls</v>
          </cell>
          <cell r="I17">
            <v>1</v>
          </cell>
          <cell r="K17">
            <v>200000</v>
          </cell>
          <cell r="L17">
            <v>200000</v>
          </cell>
        </row>
        <row r="18">
          <cell r="B18">
            <v>4</v>
          </cell>
          <cell r="D18" t="str">
            <v>Dokumentasi 0 %, 50 %, dan 100 %</v>
          </cell>
          <cell r="H18" t="str">
            <v>Ls</v>
          </cell>
          <cell r="I18">
            <v>1</v>
          </cell>
          <cell r="K18">
            <v>85000</v>
          </cell>
          <cell r="L18">
            <v>85000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4130500</v>
          </cell>
          <cell r="L19">
            <v>4130500</v>
          </cell>
        </row>
        <row r="20">
          <cell r="D20" t="str">
            <v>SUB TOTAL   I</v>
          </cell>
          <cell r="L20">
            <v>4864900</v>
          </cell>
        </row>
        <row r="21">
          <cell r="B21" t="str">
            <v>II</v>
          </cell>
          <cell r="D21" t="str">
            <v>PEKERJAAN TALUD</v>
          </cell>
        </row>
        <row r="22">
          <cell r="B22">
            <v>1</v>
          </cell>
          <cell r="D22" t="str">
            <v>Galian tanah biasa untuk pasangan talud</v>
          </cell>
          <cell r="H22" t="str">
            <v>A.1</v>
          </cell>
          <cell r="I22">
            <v>146.655</v>
          </cell>
          <cell r="J22" t="str">
            <v>M3</v>
          </cell>
          <cell r="K22">
            <v>19775</v>
          </cell>
          <cell r="L22">
            <v>2900102.63</v>
          </cell>
        </row>
        <row r="23">
          <cell r="B23">
            <v>2</v>
          </cell>
          <cell r="D23" t="str">
            <v>Pasang talud beton bertulang adk 1:2:3</v>
          </cell>
          <cell r="H23" t="str">
            <v>G.41+3/4 I.2(b)+F.8</v>
          </cell>
          <cell r="I23">
            <v>24.975000000000001</v>
          </cell>
          <cell r="J23" t="str">
            <v>M3</v>
          </cell>
          <cell r="K23">
            <v>3348157.78</v>
          </cell>
          <cell r="L23">
            <v>83620240.560000002</v>
          </cell>
        </row>
        <row r="24">
          <cell r="B24">
            <v>3</v>
          </cell>
          <cell r="D24" t="str">
            <v>Pasang pipa PVC dia 1 " (wall drain) 1 M2 = 1 unit @ 50 cm</v>
          </cell>
          <cell r="H24" t="str">
            <v>Ls</v>
          </cell>
          <cell r="I24">
            <v>44</v>
          </cell>
          <cell r="J24" t="str">
            <v>Btg</v>
          </cell>
          <cell r="K24">
            <v>16050</v>
          </cell>
          <cell r="L24">
            <v>706200</v>
          </cell>
        </row>
        <row r="25">
          <cell r="B25">
            <v>4</v>
          </cell>
          <cell r="D25" t="str">
            <v>Pasang batu belah adk 1 : 4.</v>
          </cell>
          <cell r="H25" t="str">
            <v>G.32h+G.26(a)</v>
          </cell>
          <cell r="I25">
            <v>336.6925</v>
          </cell>
          <cell r="J25" t="str">
            <v>M2</v>
          </cell>
          <cell r="K25">
            <v>527127.02</v>
          </cell>
          <cell r="L25">
            <v>177479714.18000001</v>
          </cell>
        </row>
        <row r="26">
          <cell r="B26">
            <v>5</v>
          </cell>
          <cell r="D26" t="str">
            <v>Plesteran dinding dan lantai siring adk.1:4</v>
          </cell>
          <cell r="H26" t="str">
            <v>G.50q+G.48</v>
          </cell>
          <cell r="I26">
            <v>133.6</v>
          </cell>
          <cell r="J26" t="str">
            <v>M3</v>
          </cell>
          <cell r="K26">
            <v>19133.61</v>
          </cell>
          <cell r="L26">
            <v>2556250.2999999998</v>
          </cell>
        </row>
        <row r="27">
          <cell r="D27" t="str">
            <v>SUB TOTAL   II</v>
          </cell>
          <cell r="L27">
            <v>267262507.67000002</v>
          </cell>
        </row>
        <row r="28">
          <cell r="B28" t="str">
            <v>III</v>
          </cell>
          <cell r="D28" t="str">
            <v>PEKERJAAN LAIN-LAIN</v>
          </cell>
        </row>
        <row r="29">
          <cell r="B29">
            <v>1</v>
          </cell>
          <cell r="C29">
            <v>1</v>
          </cell>
          <cell r="D29" t="str">
            <v>Finishing Proyek</v>
          </cell>
          <cell r="H29" t="str">
            <v>-</v>
          </cell>
          <cell r="I29">
            <v>1</v>
          </cell>
          <cell r="J29" t="str">
            <v>Ls</v>
          </cell>
          <cell r="K29">
            <v>600000</v>
          </cell>
          <cell r="L29">
            <v>600000</v>
          </cell>
        </row>
        <row r="30">
          <cell r="D30" t="str">
            <v>SUB TOTAL   III</v>
          </cell>
          <cell r="L30">
            <v>600000</v>
          </cell>
        </row>
        <row r="31">
          <cell r="B31" t="str">
            <v>A</v>
          </cell>
          <cell r="D31" t="str">
            <v>JUMLAH</v>
          </cell>
          <cell r="L31">
            <v>272727407.67000002</v>
          </cell>
        </row>
        <row r="32">
          <cell r="B32" t="str">
            <v>B</v>
          </cell>
          <cell r="D32" t="str">
            <v>PPN 10% x A</v>
          </cell>
          <cell r="L32">
            <v>27272740.77</v>
          </cell>
        </row>
        <row r="33">
          <cell r="B33" t="str">
            <v>C</v>
          </cell>
          <cell r="D33" t="str">
            <v>JUMLAH  (A+B)</v>
          </cell>
          <cell r="L33">
            <v>300000148.44</v>
          </cell>
        </row>
        <row r="34">
          <cell r="B34" t="str">
            <v>D</v>
          </cell>
          <cell r="D34" t="str">
            <v>JUMLAH DIBULATKAN</v>
          </cell>
          <cell r="L34">
            <v>300000000</v>
          </cell>
        </row>
        <row r="35">
          <cell r="N35" t="str">
            <v>REKAPITULASI RENCANA ANGGARAN BIAYA</v>
          </cell>
        </row>
        <row r="36">
          <cell r="N36" t="str">
            <v>OWNER'S ESTIMATE</v>
          </cell>
        </row>
        <row r="38">
          <cell r="N38" t="str">
            <v>Kode Paket</v>
          </cell>
          <cell r="P38" t="str">
            <v>:</v>
          </cell>
          <cell r="Q38" t="str">
            <v>C.25</v>
          </cell>
        </row>
        <row r="39">
          <cell r="N39" t="str">
            <v>Kegiatan</v>
          </cell>
          <cell r="P39" t="str">
            <v>:</v>
          </cell>
          <cell r="Q39" t="str">
            <v>Penyehatan Lingkungan Permukiman (PLP)</v>
          </cell>
        </row>
        <row r="40">
          <cell r="N40" t="str">
            <v>Pekerjaan</v>
          </cell>
          <cell r="Q40" t="str">
            <v>Pembuatan Saluran Sungai Way Balau (sekitar SDN 4 Labuhan Ratu)</v>
          </cell>
        </row>
        <row r="41">
          <cell r="N41" t="str">
            <v>Lokasi</v>
          </cell>
          <cell r="Q41" t="str">
            <v>Kelurahan Labuhan Ratu</v>
          </cell>
        </row>
        <row r="42">
          <cell r="N42" t="str">
            <v>Panjanga Rencana</v>
          </cell>
          <cell r="Q42">
            <v>500</v>
          </cell>
          <cell r="R42" t="str">
            <v>M'</v>
          </cell>
        </row>
        <row r="43">
          <cell r="N43" t="str">
            <v>Panjang Realisasi</v>
          </cell>
          <cell r="P43" t="str">
            <v>:</v>
          </cell>
          <cell r="Q43">
            <v>498.5</v>
          </cell>
          <cell r="R43" t="str">
            <v>M'</v>
          </cell>
        </row>
        <row r="44">
          <cell r="N44" t="str">
            <v>Tahun Anggaran</v>
          </cell>
          <cell r="P44" t="str">
            <v>:</v>
          </cell>
          <cell r="Q44" t="str">
            <v>2006</v>
          </cell>
        </row>
        <row r="46">
          <cell r="N46" t="str">
            <v>NO.</v>
          </cell>
          <cell r="P46" t="str">
            <v>URAIAN  PEKERJAAN</v>
          </cell>
          <cell r="V46" t="str">
            <v>TOTAL</v>
          </cell>
        </row>
        <row r="47">
          <cell r="V47" t="str">
            <v>HARGA</v>
          </cell>
        </row>
        <row r="48">
          <cell r="V48" t="str">
            <v>(Rp)</v>
          </cell>
        </row>
        <row r="49">
          <cell r="N49" t="str">
            <v>I</v>
          </cell>
          <cell r="Q49" t="str">
            <v>PEKERJAAN PERSIAPAN</v>
          </cell>
          <cell r="V49">
            <v>4864900</v>
          </cell>
        </row>
        <row r="50">
          <cell r="N50" t="str">
            <v>II</v>
          </cell>
          <cell r="Q50" t="str">
            <v>PEKERJAAN TALUD</v>
          </cell>
          <cell r="V50">
            <v>267262507.67000002</v>
          </cell>
        </row>
        <row r="51">
          <cell r="N51" t="str">
            <v>III</v>
          </cell>
          <cell r="Q51" t="str">
            <v>PEKERJAAN LAIN-LAIN</v>
          </cell>
          <cell r="V51">
            <v>600000</v>
          </cell>
        </row>
        <row r="52">
          <cell r="Q52" t="str">
            <v>JUMLAH ( I  s/d.  III)</v>
          </cell>
          <cell r="V52">
            <v>272727407.67000002</v>
          </cell>
        </row>
        <row r="53">
          <cell r="Q53" t="str">
            <v>PPN 10%</v>
          </cell>
          <cell r="V53">
            <v>27272740.77</v>
          </cell>
        </row>
        <row r="54">
          <cell r="Q54" t="str">
            <v>TOTAL</v>
          </cell>
          <cell r="V54">
            <v>300000148.44</v>
          </cell>
        </row>
        <row r="55">
          <cell r="Q55" t="str">
            <v>DIBULATKAN</v>
          </cell>
          <cell r="V55">
            <v>300000000</v>
          </cell>
        </row>
        <row r="57">
          <cell r="O57" t="str">
            <v>Terbilang</v>
          </cell>
          <cell r="P57" t="str">
            <v>:</v>
          </cell>
          <cell r="Q57" t="str">
            <v>Tiga Ratus Juta Rupiah</v>
          </cell>
        </row>
        <row r="60">
          <cell r="S60" t="str">
            <v>Bandar Lampung,  ...................... 2006</v>
          </cell>
        </row>
        <row r="61">
          <cell r="N61" t="str">
            <v>MENGETAHUI :</v>
          </cell>
        </row>
        <row r="62">
          <cell r="N62" t="str">
            <v>PEJABAT PEMBUAT KOMITMEN/ PEMIMPIN KEGIATAN</v>
          </cell>
          <cell r="S62" t="str">
            <v>PANITIA PENGADAAN JASA KONSTRUKSI</v>
          </cell>
        </row>
        <row r="63">
          <cell r="S63" t="str">
            <v>Ketua</v>
          </cell>
        </row>
        <row r="68">
          <cell r="N68" t="str">
            <v>Hi.NURBUANA,ST</v>
          </cell>
          <cell r="S68" t="str">
            <v>FAISOL MUCHTAR,ST</v>
          </cell>
        </row>
        <row r="69">
          <cell r="N69" t="str">
            <v>NIP.460021600</v>
          </cell>
          <cell r="S69" t="str">
            <v>NIP. 460 021 411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-BHN-CK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0"/>
      <sheetName val="D.91"/>
      <sheetName val="D.92"/>
      <sheetName val="D.93"/>
      <sheetName val="D.94"/>
      <sheetName val="D.95"/>
      <sheetName val="D.96"/>
      <sheetName val="T"/>
      <sheetName val="U&amp;B"/>
      <sheetName val="@"/>
      <sheetName val="ANBOW-2006"/>
      <sheetName val="ANLBOR-2006"/>
      <sheetName val="3"/>
    </sheetNames>
    <sheetDataSet>
      <sheetData sheetId="0"/>
      <sheetData sheetId="1"/>
      <sheetData sheetId="2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Kampung Baru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22.751999999999999</v>
          </cell>
          <cell r="J13" t="str">
            <v>M2</v>
          </cell>
          <cell r="K13">
            <v>3560</v>
          </cell>
          <cell r="L13">
            <v>80997.119999999995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18.96</v>
          </cell>
          <cell r="J14" t="str">
            <v>M1</v>
          </cell>
          <cell r="K14">
            <v>26077.06</v>
          </cell>
          <cell r="L14">
            <v>494421.05760000006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575418.17760000005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8.2476000000000003</v>
          </cell>
          <cell r="J21" t="str">
            <v>M3</v>
          </cell>
          <cell r="K21">
            <v>19775</v>
          </cell>
          <cell r="L21">
            <v>163096.29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2.0619000000000001</v>
          </cell>
          <cell r="J22" t="str">
            <v>M3</v>
          </cell>
          <cell r="K22">
            <v>6660</v>
          </cell>
          <cell r="L22">
            <v>13732.254000000001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0.47400000000000003</v>
          </cell>
          <cell r="J23" t="str">
            <v>M3</v>
          </cell>
          <cell r="K23">
            <v>146691.20000000001</v>
          </cell>
          <cell r="L23">
            <v>69531.628800000006</v>
          </cell>
        </row>
        <row r="24">
          <cell r="D24" t="str">
            <v>SUB TOTAL  II</v>
          </cell>
          <cell r="L24">
            <v>246360.1728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5.4984000000000002</v>
          </cell>
          <cell r="J26" t="str">
            <v>M3</v>
          </cell>
          <cell r="K26">
            <v>527127.02</v>
          </cell>
          <cell r="L26">
            <v>2898355.206768</v>
          </cell>
        </row>
        <row r="27">
          <cell r="B27">
            <v>2</v>
          </cell>
          <cell r="D27" t="str">
            <v>Pas. Sloof 15/25</v>
          </cell>
          <cell r="H27" t="str">
            <v>G.41+3/4 I.2(a)+1/2 F.8</v>
          </cell>
          <cell r="I27">
            <v>0.71099999999999997</v>
          </cell>
          <cell r="J27" t="str">
            <v>M3</v>
          </cell>
          <cell r="K27">
            <v>2649475.14</v>
          </cell>
          <cell r="L27">
            <v>1883776.8245399999</v>
          </cell>
        </row>
        <row r="28">
          <cell r="B28">
            <v>3</v>
          </cell>
          <cell r="D28" t="str">
            <v>Pas. Kolom 30/30</v>
          </cell>
          <cell r="H28" t="str">
            <v>G.41+3/4 I.2(a)+1/2 F.8</v>
          </cell>
          <cell r="I28">
            <v>1.5749999999999997</v>
          </cell>
          <cell r="J28" t="str">
            <v>M3</v>
          </cell>
          <cell r="K28">
            <v>2649475.14</v>
          </cell>
          <cell r="L28">
            <v>4172923.3454999994</v>
          </cell>
        </row>
        <row r="29">
          <cell r="B29">
            <v>4</v>
          </cell>
          <cell r="D29" t="str">
            <v>Pas. Dinding Bata adk 1:4</v>
          </cell>
          <cell r="H29" t="str">
            <v>G.33h+G.32a</v>
          </cell>
          <cell r="I29">
            <v>1.1484000000000001</v>
          </cell>
          <cell r="J29" t="str">
            <v>M3</v>
          </cell>
          <cell r="K29">
            <v>383258.81</v>
          </cell>
          <cell r="L29">
            <v>440134.41740400001</v>
          </cell>
        </row>
        <row r="30">
          <cell r="B30">
            <v>5</v>
          </cell>
          <cell r="D30" t="str">
            <v>Plesteran Dinding adk 1: 4</v>
          </cell>
          <cell r="H30" t="str">
            <v>G.50q+G.48</v>
          </cell>
          <cell r="I30">
            <v>19.14</v>
          </cell>
          <cell r="J30" t="str">
            <v>M2</v>
          </cell>
          <cell r="K30">
            <v>19133.61</v>
          </cell>
          <cell r="L30">
            <v>366217.2954</v>
          </cell>
        </row>
        <row r="31">
          <cell r="D31" t="str">
            <v>SUB TOTAL  III</v>
          </cell>
          <cell r="L31">
            <v>9761407.0896119978</v>
          </cell>
        </row>
        <row r="32">
          <cell r="B32" t="str">
            <v>IV</v>
          </cell>
          <cell r="D32" t="str">
            <v>PEKERJAAN PAGAR/ PINTU  BESI</v>
          </cell>
        </row>
        <row r="33">
          <cell r="B33">
            <v>1</v>
          </cell>
          <cell r="D33" t="str">
            <v>Pagar Besi</v>
          </cell>
          <cell r="H33" t="str">
            <v>Supl.BMPK.17A</v>
          </cell>
          <cell r="I33">
            <v>16.169999999999998</v>
          </cell>
          <cell r="J33" t="str">
            <v>M2</v>
          </cell>
          <cell r="K33">
            <v>249511.5</v>
          </cell>
          <cell r="L33">
            <v>4034600.96</v>
          </cell>
        </row>
        <row r="34">
          <cell r="B34">
            <v>2</v>
          </cell>
          <cell r="D34" t="str">
            <v>Pintu Besi Kipas</v>
          </cell>
          <cell r="H34" t="str">
            <v>Supl.BMPK.17</v>
          </cell>
          <cell r="I34">
            <v>7.875</v>
          </cell>
          <cell r="J34" t="str">
            <v>M2</v>
          </cell>
          <cell r="K34">
            <v>340533.33</v>
          </cell>
          <cell r="L34">
            <v>2681699.9700000002</v>
          </cell>
        </row>
        <row r="35">
          <cell r="B35">
            <v>3</v>
          </cell>
          <cell r="D35" t="str">
            <v>Pasang Engsel Pintu Besi</v>
          </cell>
          <cell r="H35" t="str">
            <v>Supl.BMPK.2A</v>
          </cell>
          <cell r="I35">
            <v>10</v>
          </cell>
          <cell r="J35" t="str">
            <v>Bh</v>
          </cell>
          <cell r="K35">
            <v>0</v>
          </cell>
          <cell r="L35">
            <v>0</v>
          </cell>
        </row>
        <row r="36">
          <cell r="B36">
            <v>4</v>
          </cell>
          <cell r="D36" t="str">
            <v>Pasang Grendel Pintu Besi</v>
          </cell>
          <cell r="H36" t="str">
            <v>Ls</v>
          </cell>
          <cell r="I36">
            <v>2</v>
          </cell>
          <cell r="J36" t="str">
            <v>Set</v>
          </cell>
          <cell r="L36">
            <v>0</v>
          </cell>
        </row>
        <row r="37">
          <cell r="D37" t="str">
            <v>SUB TOTAL  IV</v>
          </cell>
          <cell r="L37">
            <v>6716300.9299999997</v>
          </cell>
        </row>
        <row r="38">
          <cell r="B38" t="str">
            <v>V</v>
          </cell>
          <cell r="D38" t="str">
            <v>PEKERJAAN LANTAI / PAVING / PENGECATAN</v>
          </cell>
        </row>
        <row r="39">
          <cell r="B39">
            <v>1</v>
          </cell>
          <cell r="D39" t="str">
            <v>Pas. Paving Type Doseksik</v>
          </cell>
          <cell r="H39" t="str">
            <v>G.44</v>
          </cell>
          <cell r="I39">
            <v>60.42</v>
          </cell>
          <cell r="J39" t="str">
            <v>M3</v>
          </cell>
          <cell r="K39">
            <v>612956.9</v>
          </cell>
          <cell r="L39">
            <v>37034855.898000002</v>
          </cell>
        </row>
        <row r="40">
          <cell r="B40">
            <v>2</v>
          </cell>
          <cell r="D40" t="str">
            <v>Pengecatan Dinding</v>
          </cell>
          <cell r="H40" t="str">
            <v>G.53.1</v>
          </cell>
          <cell r="I40">
            <v>30.54</v>
          </cell>
          <cell r="J40" t="str">
            <v>M2</v>
          </cell>
          <cell r="K40">
            <v>7561</v>
          </cell>
          <cell r="L40">
            <v>230912.94</v>
          </cell>
        </row>
        <row r="41">
          <cell r="D41" t="str">
            <v>SUB TOTAL  V</v>
          </cell>
          <cell r="L41">
            <v>37265768.838</v>
          </cell>
        </row>
        <row r="42">
          <cell r="B42" t="str">
            <v>VI</v>
          </cell>
          <cell r="D42" t="str">
            <v>PEKERJAAN PEMBUANGAN SISA PEKERJAAN</v>
          </cell>
        </row>
        <row r="43">
          <cell r="B43">
            <v>1</v>
          </cell>
          <cell r="D43" t="str">
            <v>Pembuangan Sisa Pekerjaan</v>
          </cell>
          <cell r="H43" t="str">
            <v>Ls</v>
          </cell>
          <cell r="I43">
            <v>1</v>
          </cell>
          <cell r="J43" t="str">
            <v>Ls</v>
          </cell>
          <cell r="L43">
            <v>0</v>
          </cell>
        </row>
        <row r="44">
          <cell r="D44" t="str">
            <v>SUB TOTAL  VI</v>
          </cell>
          <cell r="L44">
            <v>0</v>
          </cell>
        </row>
        <row r="45">
          <cell r="B45" t="str">
            <v>A</v>
          </cell>
          <cell r="D45" t="str">
            <v>JUMLAH</v>
          </cell>
          <cell r="L45">
            <v>54565255.208012</v>
          </cell>
        </row>
        <row r="46">
          <cell r="B46" t="str">
            <v>B</v>
          </cell>
          <cell r="D46" t="str">
            <v>PPN 10% x A</v>
          </cell>
          <cell r="L46">
            <v>5456525.5199999996</v>
          </cell>
        </row>
        <row r="47">
          <cell r="B47" t="str">
            <v>C</v>
          </cell>
          <cell r="D47" t="str">
            <v>JUMLAH  (A+B)</v>
          </cell>
          <cell r="L47">
            <v>60021780.728011996</v>
          </cell>
        </row>
        <row r="48">
          <cell r="B48" t="str">
            <v>D</v>
          </cell>
          <cell r="D48" t="str">
            <v>JUMLAH DIBULATKAN</v>
          </cell>
          <cell r="L48">
            <v>60021000</v>
          </cell>
        </row>
        <row r="49">
          <cell r="N49" t="str">
            <v>REKAPITULASI RENCANA ANGGARAN BIAYA</v>
          </cell>
        </row>
        <row r="50">
          <cell r="N50" t="str">
            <v>OWNER'S ESTIMATE</v>
          </cell>
        </row>
        <row r="52">
          <cell r="N52" t="str">
            <v>Kegiatan</v>
          </cell>
          <cell r="O52" t="str">
            <v>:</v>
          </cell>
          <cell r="P52" t="str">
            <v>Pembangunan / Pemagaran Gedung Kantor, Gedung Sekolah</v>
          </cell>
        </row>
        <row r="53">
          <cell r="N53" t="str">
            <v>Pekerjaan</v>
          </cell>
          <cell r="O53" t="str">
            <v>:</v>
          </cell>
          <cell r="P53" t="str">
            <v>Pemagaran Kantor Kelurahan Pinang Jaya</v>
          </cell>
        </row>
        <row r="54">
          <cell r="N54" t="str">
            <v>Lokasi</v>
          </cell>
          <cell r="O54" t="str">
            <v>:</v>
          </cell>
          <cell r="P54" t="str">
            <v>Kota Bandar Lampung</v>
          </cell>
        </row>
        <row r="55">
          <cell r="N55" t="str">
            <v>Tahun Anggaran</v>
          </cell>
          <cell r="O55" t="str">
            <v>:</v>
          </cell>
          <cell r="P55" t="str">
            <v>2006</v>
          </cell>
        </row>
        <row r="57">
          <cell r="N57" t="str">
            <v>NO.</v>
          </cell>
          <cell r="O57" t="str">
            <v>URAIAN  PEKERJAAN</v>
          </cell>
          <cell r="U57" t="str">
            <v>TOTAL</v>
          </cell>
        </row>
        <row r="58">
          <cell r="U58" t="str">
            <v>HARGA</v>
          </cell>
        </row>
        <row r="59">
          <cell r="U59" t="str">
            <v>(Rp)</v>
          </cell>
        </row>
        <row r="60">
          <cell r="N60" t="str">
            <v>I</v>
          </cell>
          <cell r="P60" t="str">
            <v>PEKERJAAN PERSIAPAN</v>
          </cell>
          <cell r="U60">
            <v>575418.17760000005</v>
          </cell>
        </row>
        <row r="61">
          <cell r="N61" t="str">
            <v>II</v>
          </cell>
          <cell r="P61" t="str">
            <v>PEKERJAAN GALIAN DAN TANAH</v>
          </cell>
          <cell r="U61">
            <v>246360.1728</v>
          </cell>
        </row>
        <row r="62">
          <cell r="N62" t="str">
            <v>III</v>
          </cell>
          <cell r="P62" t="str">
            <v>PEKERJAAN PASANGAN DAN BETON</v>
          </cell>
          <cell r="U62">
            <v>9761407.0896119978</v>
          </cell>
        </row>
        <row r="63">
          <cell r="N63" t="str">
            <v>IV</v>
          </cell>
          <cell r="P63" t="str">
            <v>PEKERJAAN PAGAR/ PINTU  BESI</v>
          </cell>
          <cell r="U63">
            <v>6716300.9299999997</v>
          </cell>
        </row>
        <row r="64">
          <cell r="N64" t="str">
            <v>V</v>
          </cell>
          <cell r="P64" t="str">
            <v>PEKERJAAN LANTAI / PAVING / PENGECATAN</v>
          </cell>
          <cell r="U64">
            <v>37265768.838</v>
          </cell>
        </row>
        <row r="65">
          <cell r="N65" t="str">
            <v>VI</v>
          </cell>
          <cell r="P65" t="str">
            <v>PEKERJAAN PEMBUANGAN SISA PEKERJAAN</v>
          </cell>
          <cell r="U65">
            <v>0</v>
          </cell>
        </row>
        <row r="66">
          <cell r="P66" t="str">
            <v>JUMLAH ( I  s/d.  VI)</v>
          </cell>
          <cell r="U66">
            <v>54565255.208012</v>
          </cell>
        </row>
        <row r="67">
          <cell r="P67" t="str">
            <v>PPN 10%</v>
          </cell>
          <cell r="U67">
            <v>5456525.5208012005</v>
          </cell>
        </row>
        <row r="68">
          <cell r="P68" t="str">
            <v>TOTAL</v>
          </cell>
          <cell r="U68">
            <v>60021780.728813201</v>
          </cell>
        </row>
        <row r="69">
          <cell r="P69" t="str">
            <v>DIBULATKAN</v>
          </cell>
          <cell r="U69">
            <v>60021000</v>
          </cell>
        </row>
        <row r="71">
          <cell r="N71" t="str">
            <v>Terbilang</v>
          </cell>
          <cell r="O71" t="str">
            <v>:</v>
          </cell>
          <cell r="P71" t="str">
            <v>Enam Puluh Juta Dua Puluh Satu Ribu Rupiah</v>
          </cell>
        </row>
        <row r="74">
          <cell r="R74" t="str">
            <v>Bandar Lampung, .................2006</v>
          </cell>
        </row>
        <row r="75">
          <cell r="N75" t="str">
            <v>Disetujui</v>
          </cell>
        </row>
        <row r="76">
          <cell r="N76" t="str">
            <v>Pejabat Pembuat Komitmen/Pimpinan Kegiatan</v>
          </cell>
          <cell r="R76" t="str">
            <v>PANITIA PELELANGAN</v>
          </cell>
        </row>
        <row r="82">
          <cell r="N82" t="str">
            <v>A  Z  W  A  R,ST</v>
          </cell>
          <cell r="R82" t="str">
            <v>FAISOL MUCHTAR,ST</v>
          </cell>
        </row>
        <row r="83">
          <cell r="N83" t="str">
            <v>NIP.460020553</v>
          </cell>
          <cell r="R83" t="str">
            <v>NIP. 460021411</v>
          </cell>
        </row>
      </sheetData>
      <sheetData sheetId="3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Labuhan Dalam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31.74</v>
          </cell>
          <cell r="J13" t="str">
            <v>M2</v>
          </cell>
          <cell r="K13">
            <v>3560</v>
          </cell>
          <cell r="L13">
            <v>112994.4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26.45</v>
          </cell>
          <cell r="J14" t="str">
            <v>M1</v>
          </cell>
          <cell r="K14">
            <v>26077.06</v>
          </cell>
          <cell r="L14">
            <v>689738.23999999999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802732.64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11.505749999999999</v>
          </cell>
          <cell r="J21" t="str">
            <v>M3</v>
          </cell>
          <cell r="K21">
            <v>19775</v>
          </cell>
          <cell r="L21">
            <v>227526.21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2.8764374999999998</v>
          </cell>
          <cell r="J22" t="str">
            <v>M3</v>
          </cell>
          <cell r="K22">
            <v>6660</v>
          </cell>
          <cell r="L22">
            <v>19157.07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11.505749999999999</v>
          </cell>
          <cell r="J23" t="str">
            <v>M3</v>
          </cell>
          <cell r="K23">
            <v>146691.20000000001</v>
          </cell>
          <cell r="L23">
            <v>1687792.27</v>
          </cell>
        </row>
        <row r="24">
          <cell r="D24" t="str">
            <v>SUB TOTAL  II</v>
          </cell>
          <cell r="L24">
            <v>1934475.55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6.6124999999999998</v>
          </cell>
          <cell r="J26" t="str">
            <v>M3</v>
          </cell>
          <cell r="K26">
            <v>527127.02</v>
          </cell>
          <cell r="L26">
            <v>3485627.42</v>
          </cell>
        </row>
        <row r="27">
          <cell r="B27">
            <v>2</v>
          </cell>
          <cell r="D27" t="str">
            <v>Pas. Sloof 12/25</v>
          </cell>
          <cell r="H27" t="str">
            <v>G.41+3/4 I.2(a)+1/2 F.8</v>
          </cell>
          <cell r="I27">
            <v>0.79349999999999998</v>
          </cell>
          <cell r="J27" t="str">
            <v>M3</v>
          </cell>
          <cell r="K27">
            <v>2649475.14</v>
          </cell>
          <cell r="L27">
            <v>2102358.52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0.17639999999999997</v>
          </cell>
          <cell r="J28" t="str">
            <v>M3</v>
          </cell>
          <cell r="K28">
            <v>2649475.14</v>
          </cell>
          <cell r="L28">
            <v>467367.41</v>
          </cell>
        </row>
        <row r="29">
          <cell r="B29">
            <v>4</v>
          </cell>
          <cell r="D29" t="str">
            <v>Pas. Kolom 30/30</v>
          </cell>
          <cell r="H29" t="str">
            <v>G.41+3/4 I.2(a)+1/2 F.8</v>
          </cell>
          <cell r="I29">
            <v>1.26</v>
          </cell>
          <cell r="J29" t="str">
            <v>M3</v>
          </cell>
          <cell r="K29">
            <v>2649475.14</v>
          </cell>
          <cell r="L29">
            <v>3338338.68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6.5015999999999998</v>
          </cell>
          <cell r="J30" t="str">
            <v>M3</v>
          </cell>
          <cell r="K30">
            <v>383258.81</v>
          </cell>
          <cell r="L30">
            <v>2491795.48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108.36</v>
          </cell>
          <cell r="J31" t="str">
            <v>M2</v>
          </cell>
          <cell r="K31">
            <v>19133.61</v>
          </cell>
          <cell r="L31">
            <v>2073317.98</v>
          </cell>
        </row>
        <row r="32">
          <cell r="D32" t="str">
            <v>SUB TOTAL  III</v>
          </cell>
          <cell r="L32">
            <v>13958805.49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16.5</v>
          </cell>
          <cell r="J34" t="str">
            <v>M2</v>
          </cell>
          <cell r="K34">
            <v>249511.5</v>
          </cell>
          <cell r="L34">
            <v>4116939.75</v>
          </cell>
        </row>
        <row r="35">
          <cell r="B35">
            <v>2</v>
          </cell>
          <cell r="D35" t="str">
            <v>Pintu Besi Dorong</v>
          </cell>
          <cell r="H35" t="str">
            <v>Supl.BMPK.17</v>
          </cell>
          <cell r="I35">
            <v>5.25</v>
          </cell>
          <cell r="J35" t="str">
            <v>M2</v>
          </cell>
          <cell r="K35">
            <v>340533.33</v>
          </cell>
          <cell r="L35">
            <v>1787799.98</v>
          </cell>
        </row>
        <row r="36">
          <cell r="B36">
            <v>3</v>
          </cell>
          <cell r="D36" t="str">
            <v>Pasang Roda Pintu Dorong</v>
          </cell>
          <cell r="H36" t="str">
            <v>Ls</v>
          </cell>
          <cell r="I36">
            <v>2</v>
          </cell>
          <cell r="J36" t="str">
            <v>Bh</v>
          </cell>
          <cell r="L36">
            <v>0</v>
          </cell>
        </row>
        <row r="37">
          <cell r="B37">
            <v>4</v>
          </cell>
          <cell r="D37" t="str">
            <v>Pasang Rell Pintu Dorong Lengkap</v>
          </cell>
          <cell r="H37" t="str">
            <v>Supl.BMPK.17C</v>
          </cell>
          <cell r="I37">
            <v>8</v>
          </cell>
          <cell r="J37" t="str">
            <v>M'</v>
          </cell>
          <cell r="K37">
            <v>77302.52</v>
          </cell>
          <cell r="L37">
            <v>618420.16</v>
          </cell>
        </row>
        <row r="38">
          <cell r="B38">
            <v>5</v>
          </cell>
          <cell r="D38" t="str">
            <v>Pasang Grendel Pintu Besi</v>
          </cell>
          <cell r="H38" t="str">
            <v>Ls</v>
          </cell>
          <cell r="I38">
            <v>1</v>
          </cell>
          <cell r="J38" t="str">
            <v>Set</v>
          </cell>
          <cell r="L38">
            <v>0</v>
          </cell>
        </row>
        <row r="39">
          <cell r="D39" t="str">
            <v>SUB TOTAL  IV</v>
          </cell>
          <cell r="L39">
            <v>6523159.8900000006</v>
          </cell>
        </row>
        <row r="40">
          <cell r="B40" t="str">
            <v>V</v>
          </cell>
          <cell r="D40" t="str">
            <v>PEKERJAAN LANTAI / PAVING / PENGECATAN</v>
          </cell>
        </row>
        <row r="41">
          <cell r="B41">
            <v>1</v>
          </cell>
          <cell r="D41" t="str">
            <v>Pas. Keramik Lantai 20/20 (Gedung Kantor)</v>
          </cell>
          <cell r="H41" t="str">
            <v>Supl.III(b)</v>
          </cell>
          <cell r="I41">
            <v>109.19</v>
          </cell>
          <cell r="J41" t="str">
            <v>M2</v>
          </cell>
          <cell r="K41">
            <v>85941.59</v>
          </cell>
          <cell r="L41">
            <v>9383962.2100000009</v>
          </cell>
        </row>
        <row r="42">
          <cell r="B42">
            <v>2</v>
          </cell>
          <cell r="D42" t="str">
            <v>Pas. Paving Type Doseksik</v>
          </cell>
          <cell r="H42" t="str">
            <v>G.60.1(a)</v>
          </cell>
          <cell r="I42">
            <v>40</v>
          </cell>
          <cell r="J42" t="str">
            <v>M3</v>
          </cell>
          <cell r="K42">
            <v>78015.100000000006</v>
          </cell>
          <cell r="L42">
            <v>3120604</v>
          </cell>
        </row>
        <row r="43">
          <cell r="B43">
            <v>3</v>
          </cell>
          <cell r="D43" t="str">
            <v>Pengecatan Dinding</v>
          </cell>
          <cell r="H43" t="str">
            <v>G.53.1</v>
          </cell>
          <cell r="I43">
            <v>114.66</v>
          </cell>
          <cell r="J43" t="str">
            <v>M2</v>
          </cell>
          <cell r="K43">
            <v>7561</v>
          </cell>
          <cell r="L43">
            <v>866944.26</v>
          </cell>
        </row>
        <row r="44">
          <cell r="D44" t="str">
            <v>SUB TOTAL  V</v>
          </cell>
          <cell r="L44">
            <v>13371510.470000001</v>
          </cell>
        </row>
        <row r="45">
          <cell r="B45" t="str">
            <v>VI</v>
          </cell>
          <cell r="D45" t="str">
            <v>PEKERJAAN PEMBUANGAN SISA PEKERJAAN</v>
          </cell>
        </row>
        <row r="46">
          <cell r="B46">
            <v>1</v>
          </cell>
          <cell r="D46" t="str">
            <v>Pembuangan Sisa Pekerjaan</v>
          </cell>
          <cell r="H46" t="str">
            <v>Ls</v>
          </cell>
          <cell r="I46">
            <v>1</v>
          </cell>
          <cell r="J46" t="str">
            <v>Ls</v>
          </cell>
          <cell r="L46">
            <v>0</v>
          </cell>
        </row>
        <row r="47">
          <cell r="D47" t="str">
            <v>SUB TOTAL  VI</v>
          </cell>
          <cell r="L47">
            <v>0</v>
          </cell>
        </row>
        <row r="48">
          <cell r="D48" t="str">
            <v>JUMLAH</v>
          </cell>
          <cell r="L48">
            <v>36590684.039999999</v>
          </cell>
        </row>
        <row r="49">
          <cell r="D49" t="str">
            <v>PPN 10% X A</v>
          </cell>
          <cell r="L49">
            <v>3659068.4040000001</v>
          </cell>
        </row>
        <row r="50">
          <cell r="D50" t="str">
            <v>JUMLAH  (A+B)</v>
          </cell>
          <cell r="L50">
            <v>40249752.443999998</v>
          </cell>
        </row>
        <row r="51">
          <cell r="D51" t="str">
            <v>JUMLAH DIBULATKAN</v>
          </cell>
          <cell r="L51">
            <v>40249000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Kantor Kelurahan Labuhan Dalam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PERSIAPAN</v>
          </cell>
          <cell r="U63">
            <v>802732.64</v>
          </cell>
        </row>
        <row r="64">
          <cell r="N64" t="str">
            <v>II</v>
          </cell>
          <cell r="P64" t="str">
            <v>PEKERJAAN GALIAN DAN TANAH</v>
          </cell>
          <cell r="U64">
            <v>1934475.55</v>
          </cell>
        </row>
        <row r="65">
          <cell r="N65" t="str">
            <v>III</v>
          </cell>
          <cell r="P65" t="str">
            <v>PEKERJAAN PASANGAN DAN BETON</v>
          </cell>
          <cell r="U65">
            <v>13958805.49</v>
          </cell>
        </row>
        <row r="66">
          <cell r="N66" t="str">
            <v>IV</v>
          </cell>
          <cell r="P66" t="str">
            <v>PEKERJAAN PAGAR/ PINTU  BESI</v>
          </cell>
          <cell r="U66">
            <v>6523159.8900000006</v>
          </cell>
        </row>
        <row r="67">
          <cell r="N67" t="str">
            <v>V</v>
          </cell>
          <cell r="P67" t="str">
            <v>PEKERJAAN LANTAI / PAVING / PENGECATAN</v>
          </cell>
          <cell r="U67">
            <v>13371510.470000001</v>
          </cell>
        </row>
        <row r="68">
          <cell r="N68" t="str">
            <v>VI</v>
          </cell>
          <cell r="P68" t="str">
            <v>PEKERJAAN PEMBUANGAN SISA PEKERJAAN</v>
          </cell>
          <cell r="U68">
            <v>0</v>
          </cell>
        </row>
        <row r="69">
          <cell r="P69" t="str">
            <v>JUMLAH ( I  s/d.  VI)</v>
          </cell>
          <cell r="U69">
            <v>36590684.039999999</v>
          </cell>
        </row>
        <row r="70">
          <cell r="P70" t="str">
            <v>PPN 10%</v>
          </cell>
          <cell r="U70">
            <v>3659068.4040000001</v>
          </cell>
        </row>
        <row r="71">
          <cell r="P71" t="str">
            <v>TOTAL</v>
          </cell>
          <cell r="U71">
            <v>40249752.443999998</v>
          </cell>
        </row>
        <row r="72">
          <cell r="P72" t="str">
            <v>DIBULATKAN</v>
          </cell>
          <cell r="U72">
            <v>40249000</v>
          </cell>
        </row>
        <row r="74">
          <cell r="N74" t="str">
            <v>Terbilang</v>
          </cell>
          <cell r="O74" t="str">
            <v>:</v>
          </cell>
          <cell r="P74" t="str">
            <v>Empat Puluh Juta Dua Ratus Empat Puluh Sembilan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4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Sukabumi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79.816000000000003</v>
          </cell>
          <cell r="J13" t="str">
            <v>M2</v>
          </cell>
          <cell r="K13">
            <v>3560</v>
          </cell>
          <cell r="L13">
            <v>284144.96000000002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25</v>
          </cell>
          <cell r="J14" t="str">
            <v>M1</v>
          </cell>
          <cell r="K14">
            <v>26077.06</v>
          </cell>
          <cell r="L14">
            <v>651926.5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936071.46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31.563600000000001</v>
          </cell>
          <cell r="J21" t="str">
            <v>M3</v>
          </cell>
          <cell r="K21">
            <v>19775</v>
          </cell>
          <cell r="L21">
            <v>624170.18999999994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7.8909000000000002</v>
          </cell>
          <cell r="J22" t="str">
            <v>M3</v>
          </cell>
          <cell r="K22">
            <v>6660</v>
          </cell>
          <cell r="L22">
            <v>52553.39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1.8140000000000001</v>
          </cell>
          <cell r="J23" t="str">
            <v>M3</v>
          </cell>
          <cell r="K23">
            <v>146691.20000000001</v>
          </cell>
          <cell r="L23">
            <v>266097.84000000003</v>
          </cell>
        </row>
        <row r="24">
          <cell r="D24" t="str">
            <v>SUB TOTAL  II</v>
          </cell>
          <cell r="L24">
            <v>942821.41999999993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21.042400000000001</v>
          </cell>
          <cell r="J26" t="str">
            <v>M3</v>
          </cell>
          <cell r="K26">
            <v>527127.02</v>
          </cell>
          <cell r="L26">
            <v>11092017.609999999</v>
          </cell>
        </row>
        <row r="27">
          <cell r="B27">
            <v>2</v>
          </cell>
          <cell r="D27" t="str">
            <v>Pas. Sloof 15/25</v>
          </cell>
          <cell r="H27" t="str">
            <v>G.41+3/4 I.2(a)+1/2 F.8</v>
          </cell>
          <cell r="I27">
            <v>2.7210000000000001</v>
          </cell>
          <cell r="J27" t="str">
            <v>M3</v>
          </cell>
          <cell r="K27">
            <v>2649475.14</v>
          </cell>
          <cell r="L27">
            <v>7209221.8600000003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0.45288</v>
          </cell>
          <cell r="J28" t="str">
            <v>M3</v>
          </cell>
          <cell r="K28">
            <v>2649475.14</v>
          </cell>
          <cell r="L28">
            <v>1199894.3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1.2718750000000001</v>
          </cell>
          <cell r="J29" t="str">
            <v>M3</v>
          </cell>
          <cell r="K29">
            <v>2649475.14</v>
          </cell>
          <cell r="L29">
            <v>3369801.19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13.508399999999998</v>
          </cell>
          <cell r="J30" t="str">
            <v>M3</v>
          </cell>
          <cell r="K30">
            <v>383258.81</v>
          </cell>
          <cell r="L30">
            <v>5177213.3099999996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232.68799999999999</v>
          </cell>
          <cell r="J31" t="str">
            <v>M2</v>
          </cell>
          <cell r="K31">
            <v>19133.61</v>
          </cell>
          <cell r="L31">
            <v>4452161.4400000004</v>
          </cell>
        </row>
        <row r="32">
          <cell r="D32" t="str">
            <v>SUB TOTAL  III</v>
          </cell>
          <cell r="L32">
            <v>32500309.710000001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15.95</v>
          </cell>
          <cell r="J34" t="str">
            <v>M2</v>
          </cell>
          <cell r="K34">
            <v>249511.5</v>
          </cell>
          <cell r="L34">
            <v>3979708.43</v>
          </cell>
        </row>
        <row r="35">
          <cell r="B35">
            <v>2</v>
          </cell>
          <cell r="D35" t="str">
            <v>Pintu Besi Dorong</v>
          </cell>
          <cell r="H35" t="str">
            <v>Supl.BMPK.17</v>
          </cell>
          <cell r="I35">
            <v>6</v>
          </cell>
          <cell r="J35" t="str">
            <v>M2</v>
          </cell>
          <cell r="K35">
            <v>340533.33</v>
          </cell>
          <cell r="L35">
            <v>2043199.98</v>
          </cell>
        </row>
        <row r="36">
          <cell r="B36">
            <v>3</v>
          </cell>
          <cell r="D36" t="str">
            <v>Pasang Roda Pintu Dorong</v>
          </cell>
          <cell r="H36" t="str">
            <v>Ls</v>
          </cell>
          <cell r="I36">
            <v>2</v>
          </cell>
          <cell r="J36" t="str">
            <v>Bh</v>
          </cell>
          <cell r="L36">
            <v>0</v>
          </cell>
        </row>
        <row r="37">
          <cell r="B37">
            <v>4</v>
          </cell>
          <cell r="D37" t="str">
            <v>Pasang Rell Pintu Dorong Lengkap</v>
          </cell>
          <cell r="H37" t="str">
            <v>Supl.BMPK.17C</v>
          </cell>
          <cell r="I37">
            <v>9</v>
          </cell>
          <cell r="J37" t="str">
            <v>M'</v>
          </cell>
          <cell r="K37">
            <v>77302.52</v>
          </cell>
          <cell r="L37">
            <v>695722.68</v>
          </cell>
        </row>
        <row r="38">
          <cell r="B38">
            <v>5</v>
          </cell>
          <cell r="D38" t="str">
            <v>Pasang Grendel Pintu Besi</v>
          </cell>
          <cell r="H38" t="str">
            <v>Ls</v>
          </cell>
          <cell r="I38">
            <v>1</v>
          </cell>
          <cell r="J38" t="str">
            <v>Set</v>
          </cell>
          <cell r="L38">
            <v>0</v>
          </cell>
        </row>
        <row r="39">
          <cell r="D39" t="str">
            <v>SUB TOTAL  IV</v>
          </cell>
          <cell r="L39">
            <v>6718631.0899999999</v>
          </cell>
        </row>
        <row r="40">
          <cell r="B40" t="str">
            <v>V</v>
          </cell>
          <cell r="D40" t="str">
            <v>PEKERJAAN PEMBUANGAN SISA PEKERJAAN</v>
          </cell>
        </row>
        <row r="41">
          <cell r="B41">
            <v>1</v>
          </cell>
          <cell r="D41" t="str">
            <v>Pembuangan Sisa Pekerjaan</v>
          </cell>
          <cell r="H41" t="str">
            <v>Ls</v>
          </cell>
          <cell r="I41">
            <v>1</v>
          </cell>
          <cell r="J41" t="str">
            <v>Ls</v>
          </cell>
          <cell r="L41">
            <v>0</v>
          </cell>
        </row>
        <row r="42">
          <cell r="D42" t="str">
            <v>SUB TOTAL  V</v>
          </cell>
          <cell r="L42">
            <v>0</v>
          </cell>
        </row>
        <row r="43">
          <cell r="D43" t="str">
            <v>JUMLAH</v>
          </cell>
          <cell r="L43">
            <v>41097833.680000015</v>
          </cell>
        </row>
        <row r="44">
          <cell r="D44" t="str">
            <v>PPN 10% X A</v>
          </cell>
          <cell r="L44">
            <v>4109783.3680000016</v>
          </cell>
        </row>
        <row r="45">
          <cell r="D45" t="str">
            <v>JUMLAH  (A+B)</v>
          </cell>
          <cell r="L45">
            <v>45207617.048000015</v>
          </cell>
        </row>
        <row r="46">
          <cell r="D46" t="str">
            <v>JUMLAH DIBULATKAN</v>
          </cell>
          <cell r="L46">
            <v>45207000</v>
          </cell>
        </row>
        <row r="47">
          <cell r="N47" t="str">
            <v>REKAPITULASI RENCANA ANGGARAN BIAYA</v>
          </cell>
        </row>
        <row r="48">
          <cell r="N48" t="str">
            <v>OWNER'S ESTIMATE</v>
          </cell>
        </row>
        <row r="50">
          <cell r="N50" t="str">
            <v>Kegiatan</v>
          </cell>
          <cell r="O50" t="str">
            <v>:</v>
          </cell>
          <cell r="P50" t="str">
            <v>Pembangunan / Pemagaran Gedung Kantor, Gedung Sekolah</v>
          </cell>
        </row>
        <row r="51">
          <cell r="N51" t="str">
            <v>Pekerjaan</v>
          </cell>
          <cell r="O51" t="str">
            <v>:</v>
          </cell>
          <cell r="P51" t="str">
            <v>Pemagaran Kantor Kelurahan Sukabumi</v>
          </cell>
        </row>
        <row r="52">
          <cell r="N52" t="str">
            <v>Lokasi</v>
          </cell>
          <cell r="O52" t="str">
            <v>:</v>
          </cell>
          <cell r="P52" t="str">
            <v>Kota Bandar Lampung</v>
          </cell>
        </row>
        <row r="53">
          <cell r="N53" t="str">
            <v>Tahun Anggaran</v>
          </cell>
          <cell r="O53" t="str">
            <v>:</v>
          </cell>
          <cell r="P53" t="str">
            <v>2006</v>
          </cell>
        </row>
        <row r="55">
          <cell r="N55" t="str">
            <v>NO.</v>
          </cell>
          <cell r="O55" t="str">
            <v>URAIAN  PEKERJAAN</v>
          </cell>
          <cell r="U55" t="str">
            <v>TOTAL</v>
          </cell>
        </row>
        <row r="56">
          <cell r="U56" t="str">
            <v>HARGA</v>
          </cell>
        </row>
        <row r="57">
          <cell r="U57" t="str">
            <v>(Rp)</v>
          </cell>
        </row>
        <row r="58">
          <cell r="N58" t="str">
            <v>I</v>
          </cell>
          <cell r="P58" t="str">
            <v>PEKERJAAN PERSIAPAN</v>
          </cell>
          <cell r="U58">
            <v>936071.46</v>
          </cell>
        </row>
        <row r="59">
          <cell r="N59" t="str">
            <v>II</v>
          </cell>
          <cell r="P59" t="str">
            <v>PEKERJAAN GALIAN DAN TANAH</v>
          </cell>
          <cell r="U59">
            <v>942821.41999999993</v>
          </cell>
        </row>
        <row r="60">
          <cell r="N60" t="str">
            <v>III</v>
          </cell>
          <cell r="P60" t="str">
            <v>PEKERJAAN PASANGAN DAN BETON</v>
          </cell>
          <cell r="U60">
            <v>32500309.710000001</v>
          </cell>
        </row>
        <row r="61">
          <cell r="N61" t="str">
            <v>IV</v>
          </cell>
          <cell r="P61" t="str">
            <v>PEKERJAAN PAGAR/ PINTU  BESI</v>
          </cell>
          <cell r="U61">
            <v>6718631.0899999999</v>
          </cell>
        </row>
        <row r="62">
          <cell r="N62" t="str">
            <v>V</v>
          </cell>
          <cell r="P62" t="str">
            <v>PEKERJAAN PEMBUANGAN SISA PEKERJAAN</v>
          </cell>
          <cell r="U62">
            <v>0</v>
          </cell>
        </row>
        <row r="63">
          <cell r="N63" t="str">
            <v>VI</v>
          </cell>
          <cell r="P63" t="e">
            <v>#N/A</v>
          </cell>
          <cell r="U63">
            <v>0</v>
          </cell>
        </row>
        <row r="64">
          <cell r="P64" t="str">
            <v>JUMLAH ( I  s/d.  VI)</v>
          </cell>
          <cell r="U64">
            <v>41097833.680000007</v>
          </cell>
        </row>
        <row r="65">
          <cell r="P65" t="str">
            <v>PPN 10%</v>
          </cell>
          <cell r="U65">
            <v>4109783.3680000007</v>
          </cell>
        </row>
        <row r="66">
          <cell r="P66" t="str">
            <v>TOTAL</v>
          </cell>
          <cell r="U66">
            <v>45207617.048000008</v>
          </cell>
        </row>
        <row r="67">
          <cell r="P67" t="str">
            <v>DIBULATKAN</v>
          </cell>
          <cell r="U67">
            <v>45207000</v>
          </cell>
        </row>
        <row r="69">
          <cell r="N69" t="str">
            <v>Terbilang</v>
          </cell>
          <cell r="O69" t="str">
            <v>:</v>
          </cell>
          <cell r="P69" t="str">
            <v>Empat Puluh Lima Juta Dua Ratus Tujuh Ribu Rupiah</v>
          </cell>
        </row>
        <row r="72">
          <cell r="R72" t="str">
            <v>Bandar Lampung, .................2006</v>
          </cell>
        </row>
        <row r="73">
          <cell r="N73" t="str">
            <v>Disetujui</v>
          </cell>
        </row>
        <row r="74">
          <cell r="N74" t="str">
            <v>Pejabat Pembuat Komitmen/Pimpinan Kegiatan</v>
          </cell>
          <cell r="R74" t="str">
            <v>PANITIA PELELANGAN</v>
          </cell>
        </row>
        <row r="80">
          <cell r="N80" t="str">
            <v>A  Z  W  A  R,ST</v>
          </cell>
          <cell r="R80" t="str">
            <v>FAISOL MUCHTAR,ST</v>
          </cell>
        </row>
        <row r="81">
          <cell r="N81" t="str">
            <v>NIP.460020553</v>
          </cell>
          <cell r="R81" t="str">
            <v>NIP. 460021411</v>
          </cell>
        </row>
      </sheetData>
      <sheetData sheetId="5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Campang Raya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66.816000000000003</v>
          </cell>
          <cell r="J13" t="str">
            <v>M2</v>
          </cell>
          <cell r="K13">
            <v>3560</v>
          </cell>
          <cell r="L13">
            <v>237864.95999999999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45</v>
          </cell>
          <cell r="J14" t="str">
            <v>M1</v>
          </cell>
          <cell r="K14">
            <v>26077.06</v>
          </cell>
          <cell r="L14">
            <v>1173467.7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1411332.66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24.220799999999997</v>
          </cell>
          <cell r="J21" t="str">
            <v>M3</v>
          </cell>
          <cell r="K21">
            <v>19775</v>
          </cell>
          <cell r="L21">
            <v>478966.32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6.0551999999999992</v>
          </cell>
          <cell r="J22" t="str">
            <v>M3</v>
          </cell>
          <cell r="K22">
            <v>6660</v>
          </cell>
          <cell r="L22">
            <v>40327.629999999997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1.3920000000000001</v>
          </cell>
          <cell r="J23" t="str">
            <v>M3</v>
          </cell>
          <cell r="K23">
            <v>146691.20000000001</v>
          </cell>
          <cell r="L23">
            <v>204194.15</v>
          </cell>
        </row>
        <row r="24">
          <cell r="D24" t="str">
            <v>SUB TOTAL  II</v>
          </cell>
          <cell r="L24">
            <v>723488.1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16.147199999999998</v>
          </cell>
          <cell r="J26" t="str">
            <v>M3</v>
          </cell>
          <cell r="K26">
            <v>527127.02</v>
          </cell>
          <cell r="L26">
            <v>8511625.4199999999</v>
          </cell>
        </row>
        <row r="27">
          <cell r="B27">
            <v>2</v>
          </cell>
          <cell r="D27" t="str">
            <v>Pas. Sloof 15/25</v>
          </cell>
          <cell r="H27" t="str">
            <v>G.41+3/4 I.2(a)+1/2 F.8</v>
          </cell>
          <cell r="I27">
            <v>2.0880000000000001</v>
          </cell>
          <cell r="J27" t="str">
            <v>M3</v>
          </cell>
          <cell r="K27">
            <v>2649475.14</v>
          </cell>
          <cell r="L27">
            <v>5532104.0899999999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0.1764</v>
          </cell>
          <cell r="J28" t="str">
            <v>M3</v>
          </cell>
          <cell r="K28">
            <v>2649475.14</v>
          </cell>
          <cell r="L28">
            <v>467367.41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1.75</v>
          </cell>
          <cell r="J29" t="str">
            <v>M3</v>
          </cell>
          <cell r="K29">
            <v>2649475.14</v>
          </cell>
          <cell r="L29">
            <v>4636581.5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5.4161999999999999</v>
          </cell>
          <cell r="J30" t="str">
            <v>M3</v>
          </cell>
          <cell r="K30">
            <v>383258.81</v>
          </cell>
          <cell r="L30">
            <v>2075806.37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90.27</v>
          </cell>
          <cell r="J31" t="str">
            <v>M2</v>
          </cell>
          <cell r="K31">
            <v>19133.61</v>
          </cell>
          <cell r="L31">
            <v>1727190.97</v>
          </cell>
        </row>
        <row r="32">
          <cell r="D32" t="str">
            <v>SUB TOTAL  III</v>
          </cell>
          <cell r="L32">
            <v>22950675.760000002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40.424999999999997</v>
          </cell>
          <cell r="J34" t="str">
            <v>M2</v>
          </cell>
          <cell r="K34">
            <v>249511.5</v>
          </cell>
          <cell r="L34">
            <v>10086502.390000001</v>
          </cell>
        </row>
        <row r="35">
          <cell r="B35">
            <v>2</v>
          </cell>
          <cell r="D35" t="str">
            <v>Pintu Besi Dorong (2 UNIT)</v>
          </cell>
          <cell r="H35" t="str">
            <v>Supl.BMPK.17</v>
          </cell>
          <cell r="I35">
            <v>12</v>
          </cell>
          <cell r="J35" t="str">
            <v>M2</v>
          </cell>
          <cell r="K35">
            <v>340533.33</v>
          </cell>
          <cell r="L35">
            <v>4086399.96</v>
          </cell>
        </row>
        <row r="36">
          <cell r="B36">
            <v>3</v>
          </cell>
          <cell r="D36" t="str">
            <v>Pasang Roda Pintu Dorong</v>
          </cell>
          <cell r="H36" t="str">
            <v>Ls</v>
          </cell>
          <cell r="I36">
            <v>4</v>
          </cell>
          <cell r="J36" t="str">
            <v>Bh</v>
          </cell>
          <cell r="L36">
            <v>0</v>
          </cell>
        </row>
        <row r="37">
          <cell r="B37">
            <v>4</v>
          </cell>
          <cell r="D37" t="str">
            <v>Pasang Rell Pintu Dorong Lengkap</v>
          </cell>
          <cell r="H37" t="str">
            <v>Supl.BMPK.17C</v>
          </cell>
          <cell r="I37">
            <v>18</v>
          </cell>
          <cell r="J37" t="str">
            <v>M'</v>
          </cell>
          <cell r="K37">
            <v>77302.52</v>
          </cell>
          <cell r="L37">
            <v>1391445.36</v>
          </cell>
        </row>
        <row r="38">
          <cell r="B38">
            <v>5</v>
          </cell>
          <cell r="D38" t="str">
            <v>Pasang Grendel Pintu Besi</v>
          </cell>
          <cell r="H38" t="str">
            <v>Ls</v>
          </cell>
          <cell r="I38">
            <v>2</v>
          </cell>
          <cell r="J38" t="str">
            <v>Set</v>
          </cell>
          <cell r="L38">
            <v>0</v>
          </cell>
        </row>
        <row r="39">
          <cell r="D39" t="str">
            <v>SUB TOTAL  IV</v>
          </cell>
          <cell r="L39">
            <v>15564347.710000001</v>
          </cell>
        </row>
        <row r="40">
          <cell r="B40" t="str">
            <v>V</v>
          </cell>
          <cell r="D40" t="str">
            <v>PEKERJAAN LANTAI / PAVING / PENGECATAN</v>
          </cell>
        </row>
        <row r="41">
          <cell r="B41">
            <v>1</v>
          </cell>
          <cell r="D41" t="str">
            <v>Pengecatan Dinding</v>
          </cell>
          <cell r="H41" t="str">
            <v>G.53.1</v>
          </cell>
          <cell r="I41">
            <v>109.345</v>
          </cell>
          <cell r="J41" t="str">
            <v>M2</v>
          </cell>
          <cell r="K41">
            <v>7561</v>
          </cell>
          <cell r="L41">
            <v>826757.55</v>
          </cell>
        </row>
        <row r="42">
          <cell r="D42" t="str">
            <v>SUB TOTAL  V</v>
          </cell>
          <cell r="L42">
            <v>826757.55</v>
          </cell>
        </row>
        <row r="43">
          <cell r="B43" t="str">
            <v>VI</v>
          </cell>
          <cell r="D43" t="str">
            <v>PEKERJAAN PEMBUANGAN SISA PEKERJAAN</v>
          </cell>
        </row>
        <row r="44">
          <cell r="B44">
            <v>1</v>
          </cell>
          <cell r="D44" t="str">
            <v>Pembuangan Sisa Pekerjaan</v>
          </cell>
          <cell r="H44" t="str">
            <v>Ls</v>
          </cell>
          <cell r="I44">
            <v>1</v>
          </cell>
          <cell r="J44" t="str">
            <v>Ls</v>
          </cell>
          <cell r="L44">
            <v>0</v>
          </cell>
        </row>
        <row r="45">
          <cell r="D45" t="str">
            <v>SUB TOTAL  VI</v>
          </cell>
          <cell r="L45">
            <v>0</v>
          </cell>
        </row>
        <row r="46">
          <cell r="D46" t="str">
            <v>JUMLAH</v>
          </cell>
          <cell r="L46">
            <v>41476601.780000001</v>
          </cell>
        </row>
        <row r="47">
          <cell r="D47" t="str">
            <v>PPN 10% X A</v>
          </cell>
          <cell r="L47">
            <v>4147660.1780000003</v>
          </cell>
        </row>
        <row r="48">
          <cell r="D48" t="str">
            <v>JUMLAH  (A+B)</v>
          </cell>
          <cell r="L48">
            <v>45624261.958000004</v>
          </cell>
        </row>
        <row r="49">
          <cell r="D49" t="str">
            <v>JUMLAH DIBULATKAN</v>
          </cell>
          <cell r="L49">
            <v>45624000</v>
          </cell>
        </row>
        <row r="50">
          <cell r="N50" t="str">
            <v>REKAPITULASI RENCANA ANGGARAN BIAYA</v>
          </cell>
        </row>
        <row r="51">
          <cell r="N51" t="str">
            <v>OWNER'S ESTIMATE</v>
          </cell>
        </row>
        <row r="53">
          <cell r="N53" t="str">
            <v>Kegiatan</v>
          </cell>
          <cell r="O53" t="str">
            <v>:</v>
          </cell>
          <cell r="P53" t="str">
            <v>Pembangunan / Pemagaran Gedung Kantor, Gedung Sekolah</v>
          </cell>
        </row>
        <row r="54">
          <cell r="N54" t="str">
            <v>Pekerjaan</v>
          </cell>
          <cell r="O54" t="str">
            <v>:</v>
          </cell>
          <cell r="P54" t="str">
            <v>Pemagaran Kantor Kelurahan Campang Raya</v>
          </cell>
        </row>
        <row r="55">
          <cell r="N55" t="str">
            <v>Lokasi</v>
          </cell>
          <cell r="O55" t="str">
            <v>:</v>
          </cell>
          <cell r="P55" t="str">
            <v>Kota Bandar Lampung</v>
          </cell>
        </row>
        <row r="56">
          <cell r="N56" t="str">
            <v>Tahun Anggaran</v>
          </cell>
          <cell r="O56" t="str">
            <v>:</v>
          </cell>
          <cell r="P56" t="str">
            <v>2006</v>
          </cell>
        </row>
        <row r="58">
          <cell r="N58" t="str">
            <v>NO.</v>
          </cell>
          <cell r="O58" t="str">
            <v>URAIAN  PEKERJAAN</v>
          </cell>
          <cell r="U58" t="str">
            <v>TOTAL</v>
          </cell>
        </row>
        <row r="59">
          <cell r="U59" t="str">
            <v>HARGA</v>
          </cell>
        </row>
        <row r="60">
          <cell r="U60" t="str">
            <v>(Rp)</v>
          </cell>
        </row>
        <row r="61">
          <cell r="N61" t="str">
            <v>I</v>
          </cell>
          <cell r="P61" t="str">
            <v>PEKERJAAN PERSIAPAN</v>
          </cell>
          <cell r="U61">
            <v>1411332.66</v>
          </cell>
        </row>
        <row r="62">
          <cell r="N62" t="str">
            <v>II</v>
          </cell>
          <cell r="P62" t="str">
            <v>PEKERJAAN GALIAN DAN TANAH</v>
          </cell>
          <cell r="U62">
            <v>723488.1</v>
          </cell>
        </row>
        <row r="63">
          <cell r="N63" t="str">
            <v>III</v>
          </cell>
          <cell r="P63" t="str">
            <v>PEKERJAAN PASANGAN DAN BETON</v>
          </cell>
          <cell r="U63">
            <v>22950675.760000002</v>
          </cell>
        </row>
        <row r="64">
          <cell r="N64" t="str">
            <v>IV</v>
          </cell>
          <cell r="P64" t="str">
            <v>PEKERJAAN PAGAR/ PINTU  BESI</v>
          </cell>
          <cell r="U64">
            <v>15564347.710000001</v>
          </cell>
        </row>
        <row r="65">
          <cell r="N65" t="str">
            <v>V</v>
          </cell>
          <cell r="P65" t="str">
            <v>PEKERJAAN LANTAI / PAVING / PENGECATAN</v>
          </cell>
          <cell r="U65">
            <v>826757.55</v>
          </cell>
        </row>
        <row r="66">
          <cell r="N66" t="str">
            <v>VI</v>
          </cell>
          <cell r="P66" t="str">
            <v>PEKERJAAN PEMBUANGAN SISA PEKERJAAN</v>
          </cell>
          <cell r="U66">
            <v>0</v>
          </cell>
        </row>
        <row r="67">
          <cell r="P67" t="str">
            <v>JUMLAH ( I  s/d.  VI)</v>
          </cell>
          <cell r="U67">
            <v>41476601.780000001</v>
          </cell>
        </row>
        <row r="68">
          <cell r="P68" t="str">
            <v>PPN 10%</v>
          </cell>
          <cell r="U68">
            <v>4147660.1780000003</v>
          </cell>
        </row>
        <row r="69">
          <cell r="P69" t="str">
            <v>TOTAL</v>
          </cell>
          <cell r="U69">
            <v>45624261.958000004</v>
          </cell>
        </row>
        <row r="70">
          <cell r="P70" t="str">
            <v>DIBULATKAN</v>
          </cell>
          <cell r="U70">
            <v>45624000</v>
          </cell>
        </row>
        <row r="72">
          <cell r="N72" t="str">
            <v>Terbilang</v>
          </cell>
          <cell r="O72" t="str">
            <v>:</v>
          </cell>
          <cell r="P72" t="str">
            <v>Empat Puluh Lima Juta Enam Ratus Dua Puluh Empat Ribu Rupiah</v>
          </cell>
        </row>
        <row r="75">
          <cell r="R75" t="str">
            <v>Bandar Lampung, .................2006</v>
          </cell>
        </row>
        <row r="76">
          <cell r="N76" t="str">
            <v>Disetujui</v>
          </cell>
        </row>
        <row r="77">
          <cell r="N77" t="str">
            <v>Pejabat Pembuat Komitmen/Pimpinan Kegiatan</v>
          </cell>
          <cell r="R77" t="str">
            <v>PANITIA PELELANGAN</v>
          </cell>
        </row>
        <row r="83">
          <cell r="N83" t="str">
            <v>A  Z  W  A  R,ST</v>
          </cell>
          <cell r="R83" t="str">
            <v>FAISOL MUCHTAR,ST</v>
          </cell>
        </row>
        <row r="84">
          <cell r="N84" t="str">
            <v>NIP.460020553</v>
          </cell>
          <cell r="R84" t="str">
            <v>NIP. 460021411</v>
          </cell>
        </row>
      </sheetData>
      <sheetData sheetId="6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Perwata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45.96</v>
          </cell>
          <cell r="J13" t="str">
            <v>M2</v>
          </cell>
          <cell r="K13">
            <v>3560</v>
          </cell>
          <cell r="L13">
            <v>163617.60000000001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38.299999999999997</v>
          </cell>
          <cell r="J14" t="str">
            <v>M1</v>
          </cell>
          <cell r="K14">
            <v>26077.06</v>
          </cell>
          <cell r="L14">
            <v>998751.4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1162369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8.3350000000000009</v>
          </cell>
          <cell r="J21" t="str">
            <v>M3</v>
          </cell>
          <cell r="K21">
            <v>19775</v>
          </cell>
          <cell r="L21">
            <v>164824.63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2.0840000000000001</v>
          </cell>
          <cell r="J22" t="str">
            <v>M3</v>
          </cell>
          <cell r="K22">
            <v>6660</v>
          </cell>
          <cell r="L22">
            <v>13879.44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0.47899999999999998</v>
          </cell>
          <cell r="J23" t="str">
            <v>M3</v>
          </cell>
          <cell r="K23">
            <v>146691.20000000001</v>
          </cell>
          <cell r="L23">
            <v>70265.08</v>
          </cell>
        </row>
        <row r="24">
          <cell r="D24" t="str">
            <v>SUB TOTAL  II</v>
          </cell>
          <cell r="L24">
            <v>248969.15000000002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5.556</v>
          </cell>
          <cell r="J26" t="str">
            <v>M3</v>
          </cell>
          <cell r="K26">
            <v>527127.02</v>
          </cell>
          <cell r="L26">
            <v>2928717.72</v>
          </cell>
        </row>
        <row r="27">
          <cell r="B27">
            <v>2</v>
          </cell>
          <cell r="D27" t="str">
            <v>Cor Beton Bertulang Plat Lantai Siring t = 12 cm</v>
          </cell>
          <cell r="H27" t="str">
            <v>G.41+3/4 I.2(a)+1/2 F.8</v>
          </cell>
          <cell r="I27">
            <v>0.34</v>
          </cell>
          <cell r="J27" t="str">
            <v>M3</v>
          </cell>
          <cell r="K27">
            <v>2649475.14</v>
          </cell>
          <cell r="L27">
            <v>900821.55</v>
          </cell>
        </row>
        <row r="28">
          <cell r="B28">
            <v>3</v>
          </cell>
          <cell r="D28" t="str">
            <v>Pas. Sloof 15/25</v>
          </cell>
          <cell r="H28" t="str">
            <v>G.41+3/4 I.2(a)+1/2 F.8</v>
          </cell>
          <cell r="I28">
            <v>1.4359999999999999</v>
          </cell>
          <cell r="J28" t="str">
            <v>M3</v>
          </cell>
          <cell r="K28">
            <v>2649475.14</v>
          </cell>
          <cell r="L28">
            <v>3804646.3</v>
          </cell>
        </row>
        <row r="29">
          <cell r="B29">
            <v>4</v>
          </cell>
          <cell r="D29" t="str">
            <v>Pas. Kolom Praktis12/12</v>
          </cell>
          <cell r="H29" t="str">
            <v>G.41+3/4 I.2(a)+1/2 F.8</v>
          </cell>
          <cell r="I29">
            <v>0.27400000000000002</v>
          </cell>
          <cell r="J29" t="str">
            <v>M3</v>
          </cell>
          <cell r="K29">
            <v>2649475.14</v>
          </cell>
          <cell r="L29">
            <v>725956.19</v>
          </cell>
        </row>
        <row r="30">
          <cell r="B30">
            <v>5</v>
          </cell>
          <cell r="D30" t="str">
            <v>Pas. Kolom 30/30</v>
          </cell>
          <cell r="H30" t="str">
            <v>G.41+3/4 I.2(a)+1/2 F.8</v>
          </cell>
          <cell r="I30">
            <v>0.81</v>
          </cell>
          <cell r="J30" t="str">
            <v>M3</v>
          </cell>
          <cell r="K30">
            <v>2649475.14</v>
          </cell>
          <cell r="L30">
            <v>2146074.86</v>
          </cell>
        </row>
        <row r="31">
          <cell r="B31">
            <v>6</v>
          </cell>
          <cell r="D31" t="str">
            <v>Cor Beton Plat Depan Gerbang  t=12 CM</v>
          </cell>
          <cell r="H31" t="str">
            <v>G.41+3/4 I.2(a)+1/2 F.8</v>
          </cell>
          <cell r="I31">
            <v>0.27400000000000002</v>
          </cell>
          <cell r="J31" t="str">
            <v>M3</v>
          </cell>
          <cell r="K31">
            <v>2649475.14</v>
          </cell>
          <cell r="L31">
            <v>725956.19</v>
          </cell>
        </row>
        <row r="32">
          <cell r="B32">
            <v>7</v>
          </cell>
          <cell r="D32" t="str">
            <v>Pas. Dinding Bata adk 1:4</v>
          </cell>
          <cell r="H32" t="str">
            <v>G.33h+G.32a</v>
          </cell>
          <cell r="I32">
            <v>3.6960000000000002</v>
          </cell>
          <cell r="J32" t="str">
            <v>M3</v>
          </cell>
          <cell r="K32">
            <v>383258.81</v>
          </cell>
          <cell r="L32">
            <v>1416524.56</v>
          </cell>
        </row>
        <row r="33">
          <cell r="B33">
            <v>8</v>
          </cell>
          <cell r="D33" t="str">
            <v>Pasang Profil Beton/Semen</v>
          </cell>
          <cell r="H33" t="str">
            <v>Supl.38</v>
          </cell>
          <cell r="I33">
            <v>67.319999999999993</v>
          </cell>
          <cell r="J33" t="str">
            <v>M'</v>
          </cell>
          <cell r="K33">
            <v>75102.25</v>
          </cell>
          <cell r="L33">
            <v>5055883.47</v>
          </cell>
        </row>
        <row r="34">
          <cell r="B34">
            <v>9</v>
          </cell>
          <cell r="D34" t="str">
            <v>Plesteran Dinding adk 1: 4</v>
          </cell>
          <cell r="H34" t="str">
            <v>G.50q+G.48</v>
          </cell>
          <cell r="I34">
            <v>61.6</v>
          </cell>
          <cell r="J34" t="str">
            <v>M2</v>
          </cell>
          <cell r="K34">
            <v>19133.61</v>
          </cell>
          <cell r="L34">
            <v>1178630.3799999999</v>
          </cell>
        </row>
        <row r="35">
          <cell r="B35">
            <v>10</v>
          </cell>
          <cell r="D35" t="str">
            <v>Pasang Profil Beton / Semen (Kolom)</v>
          </cell>
          <cell r="H35" t="str">
            <v>Supl.38</v>
          </cell>
          <cell r="I35">
            <v>38.96</v>
          </cell>
          <cell r="J35" t="str">
            <v>M'</v>
          </cell>
          <cell r="K35">
            <v>75102.25</v>
          </cell>
          <cell r="L35">
            <v>2925983.66</v>
          </cell>
        </row>
        <row r="36">
          <cell r="D36" t="str">
            <v>SUB TOTAL  III</v>
          </cell>
          <cell r="L36">
            <v>21809194.879999999</v>
          </cell>
        </row>
        <row r="37">
          <cell r="B37" t="str">
            <v>IV</v>
          </cell>
          <cell r="D37" t="str">
            <v>PEKERJAAN PAGAR/ PINTU  BESI</v>
          </cell>
        </row>
        <row r="38">
          <cell r="B38">
            <v>1</v>
          </cell>
          <cell r="D38" t="str">
            <v>Pagar Besi</v>
          </cell>
          <cell r="H38" t="str">
            <v>Supl.BMPK.17A</v>
          </cell>
          <cell r="I38">
            <v>8.25</v>
          </cell>
          <cell r="J38" t="str">
            <v>M2</v>
          </cell>
          <cell r="K38">
            <v>249511.5</v>
          </cell>
          <cell r="L38">
            <v>2058469.88</v>
          </cell>
        </row>
        <row r="39">
          <cell r="B39">
            <v>2</v>
          </cell>
          <cell r="D39" t="str">
            <v>Pintu Besi Kipas (2 UNIT)</v>
          </cell>
          <cell r="H39" t="str">
            <v>Supl.BMPK.17</v>
          </cell>
          <cell r="I39">
            <v>6.0650000000000004</v>
          </cell>
          <cell r="J39" t="str">
            <v>M2</v>
          </cell>
          <cell r="K39">
            <v>340533.33</v>
          </cell>
          <cell r="L39">
            <v>2065334.65</v>
          </cell>
        </row>
        <row r="40">
          <cell r="B40">
            <v>3</v>
          </cell>
          <cell r="D40" t="str">
            <v>Pasang Engsel Pintu Besi</v>
          </cell>
          <cell r="H40" t="str">
            <v>Supl.BMPK.2A</v>
          </cell>
          <cell r="I40">
            <v>10</v>
          </cell>
          <cell r="J40" t="str">
            <v>Bh</v>
          </cell>
          <cell r="K40">
            <v>0</v>
          </cell>
          <cell r="L40">
            <v>0</v>
          </cell>
        </row>
        <row r="41">
          <cell r="B41">
            <v>4</v>
          </cell>
          <cell r="D41" t="str">
            <v>Pasang Grendel Pintu Besi</v>
          </cell>
          <cell r="H41" t="str">
            <v>Ls</v>
          </cell>
          <cell r="I41">
            <v>1</v>
          </cell>
          <cell r="J41" t="str">
            <v>Set</v>
          </cell>
          <cell r="L41">
            <v>0</v>
          </cell>
        </row>
        <row r="42">
          <cell r="D42" t="str">
            <v>SUB TOTAL  IV</v>
          </cell>
          <cell r="L42">
            <v>4123804.53</v>
          </cell>
        </row>
        <row r="43">
          <cell r="B43" t="str">
            <v>V</v>
          </cell>
          <cell r="D43" t="str">
            <v>PEKERJAAN LANTAI / PAVING / PENGECATAN</v>
          </cell>
        </row>
        <row r="44">
          <cell r="B44">
            <v>1</v>
          </cell>
          <cell r="D44" t="str">
            <v>Pas. Keramik Lantai 20/20 (Gedung Kantor)</v>
          </cell>
          <cell r="H44" t="str">
            <v>Supl.III(b)</v>
          </cell>
          <cell r="J44" t="str">
            <v>M2</v>
          </cell>
          <cell r="K44">
            <v>85941.59</v>
          </cell>
          <cell r="L44">
            <v>0</v>
          </cell>
        </row>
        <row r="45">
          <cell r="B45">
            <v>2</v>
          </cell>
          <cell r="D45" t="str">
            <v>Pas. Paving Type Doseksik</v>
          </cell>
          <cell r="H45" t="str">
            <v>G.60.1(a)</v>
          </cell>
          <cell r="I45">
            <v>29.04</v>
          </cell>
          <cell r="J45" t="str">
            <v>M2</v>
          </cell>
          <cell r="K45">
            <v>78015.100000000006</v>
          </cell>
          <cell r="L45">
            <v>2265558.5</v>
          </cell>
        </row>
        <row r="46">
          <cell r="B46">
            <v>3</v>
          </cell>
          <cell r="D46" t="str">
            <v>Pengecatan Dinding</v>
          </cell>
          <cell r="H46" t="str">
            <v>G.53.1</v>
          </cell>
          <cell r="I46">
            <v>70.75</v>
          </cell>
          <cell r="J46" t="str">
            <v>M2</v>
          </cell>
          <cell r="K46">
            <v>7561</v>
          </cell>
          <cell r="L46">
            <v>534940.75</v>
          </cell>
        </row>
        <row r="47">
          <cell r="D47" t="str">
            <v>SUB TOTAL  V</v>
          </cell>
          <cell r="L47">
            <v>2800499.25</v>
          </cell>
        </row>
        <row r="48">
          <cell r="B48" t="str">
            <v>VI</v>
          </cell>
          <cell r="D48" t="str">
            <v>PEKERJAAN PEMBUANGAN SISA PEKERJAAN</v>
          </cell>
        </row>
        <row r="49">
          <cell r="B49">
            <v>1</v>
          </cell>
          <cell r="D49" t="str">
            <v>Pembuangan Sisa Pekerjaan</v>
          </cell>
          <cell r="H49" t="str">
            <v>Ls</v>
          </cell>
          <cell r="I49">
            <v>1</v>
          </cell>
          <cell r="J49" t="str">
            <v>Ls</v>
          </cell>
          <cell r="L49">
            <v>0</v>
          </cell>
        </row>
        <row r="50">
          <cell r="D50" t="str">
            <v>SUB TOTAL</v>
          </cell>
          <cell r="L50">
            <v>0</v>
          </cell>
        </row>
        <row r="51">
          <cell r="D51" t="str">
            <v>JUMLAH</v>
          </cell>
          <cell r="L51">
            <v>30144836.809999999</v>
          </cell>
        </row>
        <row r="52">
          <cell r="D52" t="str">
            <v>PPN 10% x A</v>
          </cell>
          <cell r="L52">
            <v>3014483.6809999999</v>
          </cell>
        </row>
        <row r="53">
          <cell r="D53" t="str">
            <v>JUMLAH  (A+B)</v>
          </cell>
          <cell r="L53">
            <v>33159320.490999997</v>
          </cell>
        </row>
        <row r="54">
          <cell r="D54" t="str">
            <v>JUMLAH DIBULATKAN</v>
          </cell>
          <cell r="L54">
            <v>33159000</v>
          </cell>
        </row>
        <row r="55">
          <cell r="N55" t="str">
            <v>REKAPITULASI RENCANA ANGGARAN BIAYA</v>
          </cell>
        </row>
        <row r="56">
          <cell r="N56" t="str">
            <v>OWNER'S ESTIMATE</v>
          </cell>
        </row>
        <row r="58">
          <cell r="N58" t="str">
            <v>Kegiatan</v>
          </cell>
          <cell r="O58" t="str">
            <v>:</v>
          </cell>
          <cell r="P58" t="str">
            <v>Pembangunan / Pemagaran Gedung Kantor, Gedung Sekolah</v>
          </cell>
        </row>
        <row r="59">
          <cell r="N59" t="str">
            <v>Pekerjaan</v>
          </cell>
          <cell r="O59" t="str">
            <v>:</v>
          </cell>
          <cell r="P59" t="str">
            <v>Pemagaran Kantor Kelurahan Perwata</v>
          </cell>
        </row>
        <row r="60">
          <cell r="N60" t="str">
            <v>Lokasi</v>
          </cell>
          <cell r="O60" t="str">
            <v>:</v>
          </cell>
          <cell r="P60" t="str">
            <v>Kota Bandar Lampung</v>
          </cell>
        </row>
        <row r="61">
          <cell r="N61" t="str">
            <v>Tahun Anggaran</v>
          </cell>
          <cell r="O61" t="str">
            <v>:</v>
          </cell>
          <cell r="P61" t="str">
            <v>2006</v>
          </cell>
        </row>
        <row r="63">
          <cell r="N63" t="str">
            <v>NO.</v>
          </cell>
          <cell r="O63" t="str">
            <v>URAIAN  PEKERJAAN</v>
          </cell>
          <cell r="U63" t="str">
            <v>TOTAL</v>
          </cell>
        </row>
        <row r="64">
          <cell r="U64" t="str">
            <v>HARGA</v>
          </cell>
        </row>
        <row r="65">
          <cell r="U65" t="str">
            <v>(Rp)</v>
          </cell>
        </row>
        <row r="66">
          <cell r="N66" t="str">
            <v>I</v>
          </cell>
          <cell r="P66" t="str">
            <v>PEKERJAAN PERSIAPAN</v>
          </cell>
          <cell r="U66">
            <v>1162369</v>
          </cell>
        </row>
        <row r="67">
          <cell r="N67" t="str">
            <v>II</v>
          </cell>
          <cell r="P67" t="str">
            <v>PEKERJAAN GALIAN DAN TANAH</v>
          </cell>
          <cell r="U67">
            <v>248969.15000000002</v>
          </cell>
        </row>
        <row r="68">
          <cell r="N68" t="str">
            <v>III</v>
          </cell>
          <cell r="P68" t="str">
            <v>PEKERJAAN PASANGAN DAN BETON</v>
          </cell>
          <cell r="U68">
            <v>21809194.879999999</v>
          </cell>
        </row>
        <row r="69">
          <cell r="N69" t="str">
            <v>IV</v>
          </cell>
          <cell r="P69" t="str">
            <v>PEKERJAAN PAGAR/ PINTU  BESI</v>
          </cell>
          <cell r="U69">
            <v>4123804.53</v>
          </cell>
        </row>
        <row r="70">
          <cell r="N70" t="str">
            <v>V</v>
          </cell>
          <cell r="P70" t="str">
            <v>PEKERJAAN LANTAI / PAVING / PENGECATAN</v>
          </cell>
          <cell r="U70">
            <v>2800499.25</v>
          </cell>
        </row>
        <row r="71">
          <cell r="N71" t="str">
            <v>VI</v>
          </cell>
          <cell r="P71" t="str">
            <v>PEKERJAAN PEMBUANGAN SISA PEKERJAAN</v>
          </cell>
          <cell r="U71">
            <v>0</v>
          </cell>
        </row>
        <row r="72">
          <cell r="P72" t="str">
            <v>JUMLAH ( I  s/d.  VI)</v>
          </cell>
          <cell r="U72">
            <v>30144836.809999999</v>
          </cell>
        </row>
        <row r="73">
          <cell r="P73" t="str">
            <v>PPN 10%</v>
          </cell>
          <cell r="U73">
            <v>3014483.6809999999</v>
          </cell>
        </row>
        <row r="74">
          <cell r="P74" t="str">
            <v>TOTAL</v>
          </cell>
          <cell r="U74">
            <v>33159320.490999997</v>
          </cell>
        </row>
        <row r="75">
          <cell r="P75" t="str">
            <v>DIBULATKAN</v>
          </cell>
          <cell r="U75">
            <v>33159000</v>
          </cell>
        </row>
        <row r="77">
          <cell r="N77" t="str">
            <v>Terbilang</v>
          </cell>
          <cell r="O77" t="str">
            <v>:</v>
          </cell>
          <cell r="P77" t="str">
            <v>Tiga Puluh Tiga Juta Seratus Lima Puluh Sembilan Ribu Rupiah</v>
          </cell>
        </row>
        <row r="80">
          <cell r="R80" t="str">
            <v>Bandar Lampung, .................2006</v>
          </cell>
        </row>
        <row r="81">
          <cell r="N81" t="str">
            <v>Disetujui</v>
          </cell>
        </row>
        <row r="82">
          <cell r="N82" t="str">
            <v>Pejabat Pembuat Komitmen/Pimpinan Kegiatan</v>
          </cell>
          <cell r="R82" t="str">
            <v>PANITIA PELELANGAN</v>
          </cell>
        </row>
        <row r="88">
          <cell r="N88" t="str">
            <v>A  Z  W  A  R,ST</v>
          </cell>
          <cell r="R88" t="str">
            <v>FAISOL MUCHTAR,ST</v>
          </cell>
        </row>
        <row r="89">
          <cell r="N89" t="str">
            <v>NIP.460020553</v>
          </cell>
          <cell r="R89" t="str">
            <v>NIP. 460021411</v>
          </cell>
        </row>
      </sheetData>
      <sheetData sheetId="7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Batu Putu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Pembongkaran Pagar Lama / Pas. Bata</v>
          </cell>
          <cell r="H13" t="str">
            <v>L.3</v>
          </cell>
          <cell r="I13">
            <v>12.141000000000002</v>
          </cell>
          <cell r="J13" t="str">
            <v>M3</v>
          </cell>
          <cell r="K13">
            <v>116400</v>
          </cell>
          <cell r="L13">
            <v>1413212.4</v>
          </cell>
        </row>
        <row r="14">
          <cell r="B14">
            <v>2</v>
          </cell>
          <cell r="D14" t="str">
            <v>Pembersihan Lokasi</v>
          </cell>
          <cell r="H14" t="str">
            <v>SNI-T-01-1991.1.5</v>
          </cell>
          <cell r="I14">
            <v>80.94</v>
          </cell>
          <cell r="J14" t="str">
            <v>M2</v>
          </cell>
          <cell r="K14">
            <v>3560</v>
          </cell>
          <cell r="L14">
            <v>288146.40000000002</v>
          </cell>
        </row>
        <row r="15">
          <cell r="B15">
            <v>3</v>
          </cell>
          <cell r="D15" t="str">
            <v>Pasangan Bouwplank</v>
          </cell>
          <cell r="H15" t="str">
            <v>SNI-T-01-1991.1.6</v>
          </cell>
          <cell r="I15">
            <v>21</v>
          </cell>
          <cell r="J15" t="str">
            <v>M1</v>
          </cell>
          <cell r="K15">
            <v>26077.06</v>
          </cell>
          <cell r="L15">
            <v>547618.26</v>
          </cell>
        </row>
        <row r="16">
          <cell r="B16">
            <v>4</v>
          </cell>
          <cell r="D16" t="str">
            <v>Direksi Keet (Sewa)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P3K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Dokumentasi 0%, 25%, 50% dan 100%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B19">
            <v>6</v>
          </cell>
          <cell r="D19" t="str">
            <v>Papan Nama Proyek</v>
          </cell>
          <cell r="H19" t="str">
            <v>ls</v>
          </cell>
          <cell r="I19">
            <v>1</v>
          </cell>
          <cell r="J19" t="str">
            <v>Unit</v>
          </cell>
          <cell r="L19">
            <v>0</v>
          </cell>
        </row>
        <row r="20">
          <cell r="D20" t="str">
            <v>SUB TOTAL  I</v>
          </cell>
          <cell r="L20">
            <v>2248977.0599999996</v>
          </cell>
        </row>
        <row r="21">
          <cell r="B21" t="str">
            <v>II</v>
          </cell>
          <cell r="D21" t="str">
            <v>PEKERJAAN GALIAN DAN TANAH</v>
          </cell>
        </row>
        <row r="22">
          <cell r="B22">
            <v>1</v>
          </cell>
          <cell r="D22" t="str">
            <v>Pek. Galian tanah lubang pondasi</v>
          </cell>
          <cell r="H22" t="str">
            <v>A.1</v>
          </cell>
          <cell r="I22">
            <v>2.9055</v>
          </cell>
          <cell r="J22" t="str">
            <v>M3</v>
          </cell>
          <cell r="K22">
            <v>19775</v>
          </cell>
          <cell r="L22">
            <v>57456.26</v>
          </cell>
        </row>
        <row r="23">
          <cell r="B23">
            <v>2</v>
          </cell>
          <cell r="D23" t="str">
            <v>Pek. Urugan tanah sisi pondasi</v>
          </cell>
          <cell r="H23" t="str">
            <v>A.16</v>
          </cell>
          <cell r="I23">
            <v>0.72637499999999999</v>
          </cell>
          <cell r="J23" t="str">
            <v>M3</v>
          </cell>
          <cell r="K23">
            <v>6660</v>
          </cell>
          <cell r="L23">
            <v>4837.66</v>
          </cell>
        </row>
        <row r="24">
          <cell r="B24">
            <v>3</v>
          </cell>
          <cell r="D24" t="str">
            <v>Pek. Urugan pasir di bawah pondasi</v>
          </cell>
          <cell r="H24" t="str">
            <v>A.18</v>
          </cell>
          <cell r="I24">
            <v>0.18625000000000003</v>
          </cell>
          <cell r="J24" t="str">
            <v>M3</v>
          </cell>
          <cell r="K24">
            <v>146691.20000000001</v>
          </cell>
          <cell r="L24">
            <v>27321.24</v>
          </cell>
        </row>
        <row r="25">
          <cell r="D25" t="str">
            <v>SUB TOTAL  II</v>
          </cell>
          <cell r="L25">
            <v>89615.16</v>
          </cell>
        </row>
        <row r="26">
          <cell r="B26" t="str">
            <v>III</v>
          </cell>
          <cell r="D26" t="str">
            <v>PEKERJAAN PASANGAN DAN BETON</v>
          </cell>
        </row>
        <row r="27">
          <cell r="B27">
            <v>1</v>
          </cell>
          <cell r="D27" t="str">
            <v>Pas. Pondasi Batu Belah hitam adk. 1 : 4</v>
          </cell>
          <cell r="H27" t="str">
            <v>G.32h+G.26(a)</v>
          </cell>
          <cell r="I27">
            <v>1.9370000000000001</v>
          </cell>
          <cell r="J27" t="str">
            <v>M3</v>
          </cell>
          <cell r="K27">
            <v>527127.02</v>
          </cell>
          <cell r="L27">
            <v>1021045.04</v>
          </cell>
        </row>
        <row r="28">
          <cell r="B28">
            <v>2</v>
          </cell>
          <cell r="D28" t="str">
            <v>Pas. Sloof 15/25</v>
          </cell>
          <cell r="H28" t="str">
            <v>G.41+3/4 I.2(a)+1/2 F.8</v>
          </cell>
          <cell r="I28">
            <v>2.5293749999999999</v>
          </cell>
          <cell r="J28" t="str">
            <v>M3</v>
          </cell>
          <cell r="K28">
            <v>2649475.14</v>
          </cell>
          <cell r="L28">
            <v>6701516.1799999997</v>
          </cell>
        </row>
        <row r="29">
          <cell r="B29">
            <v>3</v>
          </cell>
          <cell r="D29" t="str">
            <v>Pas. Kolom Praktis12/12</v>
          </cell>
          <cell r="H29" t="str">
            <v>G.41+3/4 I.2(a)+1/2 F.8</v>
          </cell>
          <cell r="I29">
            <v>0.21887999999999996</v>
          </cell>
          <cell r="J29" t="str">
            <v>M3</v>
          </cell>
          <cell r="K29">
            <v>2649475.14</v>
          </cell>
          <cell r="L29">
            <v>579917.12</v>
          </cell>
        </row>
        <row r="30">
          <cell r="B30">
            <v>4</v>
          </cell>
          <cell r="D30" t="str">
            <v>Pas. Kolom 30/30</v>
          </cell>
          <cell r="H30" t="str">
            <v>G.41+3/4 I.2(a)+1/2 F.8</v>
          </cell>
          <cell r="I30">
            <v>1.4624999999999999</v>
          </cell>
          <cell r="J30" t="str">
            <v>M3</v>
          </cell>
          <cell r="K30">
            <v>2649475.14</v>
          </cell>
          <cell r="L30">
            <v>3874857.39</v>
          </cell>
        </row>
        <row r="31">
          <cell r="B31">
            <v>5</v>
          </cell>
          <cell r="D31" t="str">
            <v>Cor Beton Plat Depan Gerbang  t=12 CM</v>
          </cell>
          <cell r="H31" t="str">
            <v>G.41+3/4 I.2(a)+1/2 F.8</v>
          </cell>
          <cell r="I31">
            <v>0.72</v>
          </cell>
          <cell r="J31" t="str">
            <v>M3</v>
          </cell>
          <cell r="K31">
            <v>2649475.14</v>
          </cell>
          <cell r="L31">
            <v>1907622.1</v>
          </cell>
        </row>
        <row r="32">
          <cell r="B32">
            <v>5</v>
          </cell>
          <cell r="D32" t="str">
            <v>Pas. Dinding Bata adk 1:4</v>
          </cell>
          <cell r="H32" t="str">
            <v>G.33h+G.32a</v>
          </cell>
          <cell r="I32">
            <v>5.6820000000000004</v>
          </cell>
          <cell r="J32" t="str">
            <v>M3</v>
          </cell>
          <cell r="K32">
            <v>383258.81</v>
          </cell>
          <cell r="L32">
            <v>2177676.56</v>
          </cell>
        </row>
        <row r="33">
          <cell r="B33">
            <v>6</v>
          </cell>
          <cell r="D33" t="str">
            <v>Plesteran Dinding adk 1: 4</v>
          </cell>
          <cell r="H33" t="str">
            <v>G.50q+G.48</v>
          </cell>
          <cell r="I33">
            <v>98.347999999999999</v>
          </cell>
          <cell r="J33" t="str">
            <v>M2</v>
          </cell>
          <cell r="K33">
            <v>19133.61</v>
          </cell>
          <cell r="L33">
            <v>1881752.28</v>
          </cell>
        </row>
        <row r="34">
          <cell r="B34">
            <v>7</v>
          </cell>
          <cell r="D34" t="str">
            <v>Pasang Profil Beton / Semen</v>
          </cell>
          <cell r="H34" t="str">
            <v>Supl.38</v>
          </cell>
          <cell r="I34">
            <v>71.28</v>
          </cell>
          <cell r="J34" t="str">
            <v>M'</v>
          </cell>
          <cell r="K34">
            <v>75102.25</v>
          </cell>
          <cell r="L34">
            <v>5353288.38</v>
          </cell>
        </row>
        <row r="35">
          <cell r="D35" t="str">
            <v>SUB TOTAL  III</v>
          </cell>
          <cell r="L35">
            <v>23497675.050000001</v>
          </cell>
        </row>
        <row r="36">
          <cell r="B36" t="str">
            <v>IV</v>
          </cell>
          <cell r="D36" t="str">
            <v>PEKERJAAN PAGAR/ PINTU  BESI</v>
          </cell>
        </row>
        <row r="37">
          <cell r="B37">
            <v>1</v>
          </cell>
          <cell r="D37" t="str">
            <v>Pagar Besi</v>
          </cell>
          <cell r="H37" t="str">
            <v>Supl.BMPK.17A</v>
          </cell>
          <cell r="I37">
            <v>11</v>
          </cell>
          <cell r="J37" t="str">
            <v>M2</v>
          </cell>
          <cell r="K37">
            <v>249511.5</v>
          </cell>
          <cell r="L37">
            <v>2744626.5</v>
          </cell>
        </row>
        <row r="38">
          <cell r="B38">
            <v>2</v>
          </cell>
          <cell r="D38" t="str">
            <v>Pintu Besi Dorong</v>
          </cell>
          <cell r="H38" t="str">
            <v>Supl.BMPK.17</v>
          </cell>
          <cell r="I38">
            <v>6</v>
          </cell>
          <cell r="J38" t="str">
            <v>M2</v>
          </cell>
          <cell r="K38">
            <v>340533.33</v>
          </cell>
          <cell r="L38">
            <v>2043199.98</v>
          </cell>
        </row>
        <row r="39">
          <cell r="B39">
            <v>3</v>
          </cell>
          <cell r="D39" t="str">
            <v>Pintu Besi Kipas</v>
          </cell>
          <cell r="H39" t="str">
            <v>Supl.BMPK.17</v>
          </cell>
          <cell r="I39">
            <v>3</v>
          </cell>
          <cell r="J39" t="str">
            <v>M2</v>
          </cell>
          <cell r="K39">
            <v>340533.33</v>
          </cell>
          <cell r="L39">
            <v>1021599.99</v>
          </cell>
        </row>
        <row r="40">
          <cell r="B40">
            <v>4</v>
          </cell>
          <cell r="D40" t="str">
            <v>Pasang Roda Pintu Dorong</v>
          </cell>
          <cell r="H40" t="str">
            <v>Ls</v>
          </cell>
          <cell r="I40">
            <v>2</v>
          </cell>
          <cell r="J40" t="str">
            <v>Bh</v>
          </cell>
          <cell r="L40">
            <v>0</v>
          </cell>
        </row>
        <row r="41">
          <cell r="B41">
            <v>5</v>
          </cell>
          <cell r="D41" t="str">
            <v>Pasang Rell Pintu Dorong Lengkap</v>
          </cell>
          <cell r="H41" t="str">
            <v>Supl.BMPK.17C</v>
          </cell>
          <cell r="I41">
            <v>9</v>
          </cell>
          <cell r="J41" t="str">
            <v>M'</v>
          </cell>
          <cell r="K41">
            <v>77302.52</v>
          </cell>
          <cell r="L41">
            <v>695722.68</v>
          </cell>
        </row>
        <row r="42">
          <cell r="B42">
            <v>6</v>
          </cell>
          <cell r="D42" t="str">
            <v>Pasang Engsel Pintu Besi</v>
          </cell>
          <cell r="H42" t="str">
            <v>Supl.BMPK.2A</v>
          </cell>
          <cell r="I42">
            <v>4</v>
          </cell>
          <cell r="J42" t="str">
            <v>Bh</v>
          </cell>
          <cell r="K42">
            <v>0</v>
          </cell>
          <cell r="L42">
            <v>0</v>
          </cell>
        </row>
        <row r="43">
          <cell r="B43">
            <v>7</v>
          </cell>
          <cell r="D43" t="str">
            <v>Pasang Grendel Pintu Besi</v>
          </cell>
          <cell r="H43" t="str">
            <v>Ls</v>
          </cell>
          <cell r="I43">
            <v>2</v>
          </cell>
          <cell r="J43" t="str">
            <v>Set</v>
          </cell>
          <cell r="L43">
            <v>0</v>
          </cell>
        </row>
        <row r="44">
          <cell r="D44" t="str">
            <v>SUB TOTAL  IV</v>
          </cell>
          <cell r="L44">
            <v>6505149.1500000004</v>
          </cell>
        </row>
        <row r="45">
          <cell r="B45" t="str">
            <v>V</v>
          </cell>
          <cell r="D45" t="str">
            <v>PEKERJAAN LANTAI / PAVING / PENGECATAN</v>
          </cell>
        </row>
        <row r="46">
          <cell r="B46">
            <v>1</v>
          </cell>
          <cell r="D46" t="str">
            <v>Pas. Keramik Lantai 20/20 (Gedung Kantor)</v>
          </cell>
          <cell r="H46" t="str">
            <v>Supl.III(b)</v>
          </cell>
          <cell r="I46">
            <v>80</v>
          </cell>
          <cell r="J46" t="str">
            <v>M2</v>
          </cell>
          <cell r="K46">
            <v>85941.59</v>
          </cell>
          <cell r="L46">
            <v>6875327.2000000002</v>
          </cell>
        </row>
        <row r="47">
          <cell r="B47">
            <v>2</v>
          </cell>
          <cell r="D47" t="str">
            <v>Pas. Paving Type Doseksik</v>
          </cell>
          <cell r="H47" t="str">
            <v>G.60.1(a)</v>
          </cell>
          <cell r="I47">
            <v>63.5</v>
          </cell>
          <cell r="J47" t="str">
            <v>M2</v>
          </cell>
          <cell r="K47">
            <v>78015.100000000006</v>
          </cell>
          <cell r="L47">
            <v>4953958.8499999996</v>
          </cell>
        </row>
        <row r="48">
          <cell r="B48">
            <v>3</v>
          </cell>
          <cell r="D48" t="str">
            <v>Pengecatan Dinding</v>
          </cell>
          <cell r="H48" t="str">
            <v>G.53.1</v>
          </cell>
          <cell r="I48">
            <v>110.8655</v>
          </cell>
          <cell r="J48" t="str">
            <v>M2</v>
          </cell>
          <cell r="K48">
            <v>7561</v>
          </cell>
          <cell r="L48">
            <v>838254.05</v>
          </cell>
        </row>
        <row r="49">
          <cell r="D49" t="str">
            <v>SUB TOTAL  V</v>
          </cell>
          <cell r="L49">
            <v>12667540.100000001</v>
          </cell>
        </row>
        <row r="50">
          <cell r="B50" t="str">
            <v>VI</v>
          </cell>
          <cell r="D50" t="str">
            <v>PEKERJAAN PEMBUANGAN SISA PEKERJAAN</v>
          </cell>
        </row>
        <row r="51">
          <cell r="B51">
            <v>1</v>
          </cell>
          <cell r="D51" t="str">
            <v>Pembuangan Sisa Pekerjaan</v>
          </cell>
          <cell r="H51" t="str">
            <v>Ls</v>
          </cell>
          <cell r="I51">
            <v>1</v>
          </cell>
          <cell r="J51" t="str">
            <v>Ls</v>
          </cell>
          <cell r="L51">
            <v>0</v>
          </cell>
        </row>
        <row r="52">
          <cell r="D52" t="str">
            <v>SUB TOTAL  VI</v>
          </cell>
          <cell r="L52">
            <v>0</v>
          </cell>
        </row>
        <row r="53">
          <cell r="D53" t="str">
            <v>JUMLAH</v>
          </cell>
          <cell r="L53">
            <v>45008956.519999996</v>
          </cell>
        </row>
        <row r="54">
          <cell r="D54" t="str">
            <v>PPN 10% x A</v>
          </cell>
          <cell r="L54">
            <v>4500895.6519999998</v>
          </cell>
        </row>
        <row r="55">
          <cell r="D55" t="str">
            <v>JUMLAH  (A+B)</v>
          </cell>
          <cell r="L55">
            <v>49509852.171999998</v>
          </cell>
        </row>
        <row r="56">
          <cell r="D56" t="str">
            <v>JUMLAH DIBULATKAN</v>
          </cell>
          <cell r="L56">
            <v>49509000</v>
          </cell>
        </row>
        <row r="57">
          <cell r="N57" t="str">
            <v>REKAPITULASI RENCANA ANGGARAN BIAYA</v>
          </cell>
        </row>
        <row r="58">
          <cell r="N58" t="str">
            <v>OWNER'S ESTIMATE</v>
          </cell>
        </row>
        <row r="60">
          <cell r="N60" t="str">
            <v>Kegiatan</v>
          </cell>
          <cell r="O60" t="str">
            <v>:</v>
          </cell>
          <cell r="P60" t="str">
            <v>Pembangunan / Pemagaran Gedung Kantor, Gedung Sekolah</v>
          </cell>
        </row>
        <row r="61">
          <cell r="N61" t="str">
            <v>Pekerjaan</v>
          </cell>
          <cell r="O61" t="str">
            <v>:</v>
          </cell>
          <cell r="P61" t="str">
            <v>Pemagaran Kantor Kelurahan Batu Putu</v>
          </cell>
        </row>
        <row r="62">
          <cell r="N62" t="str">
            <v>Lokasi</v>
          </cell>
          <cell r="O62" t="str">
            <v>:</v>
          </cell>
          <cell r="P62" t="str">
            <v>Kota Bandar Lampung</v>
          </cell>
        </row>
        <row r="63">
          <cell r="N63" t="str">
            <v>Tahun Anggaran</v>
          </cell>
          <cell r="O63" t="str">
            <v>:</v>
          </cell>
          <cell r="P63" t="str">
            <v>2006</v>
          </cell>
        </row>
        <row r="65">
          <cell r="N65" t="str">
            <v>NO.</v>
          </cell>
          <cell r="O65" t="str">
            <v>URAIAN  PEKERJAAN</v>
          </cell>
          <cell r="U65" t="str">
            <v>TOTAL</v>
          </cell>
        </row>
        <row r="66">
          <cell r="U66" t="str">
            <v>HARGA</v>
          </cell>
        </row>
        <row r="67">
          <cell r="U67" t="str">
            <v>(Rp)</v>
          </cell>
        </row>
        <row r="68">
          <cell r="N68" t="str">
            <v>I</v>
          </cell>
          <cell r="P68" t="str">
            <v>PEKERJAAN PERSIAPAN</v>
          </cell>
          <cell r="U68">
            <v>2248977.0599999996</v>
          </cell>
        </row>
        <row r="69">
          <cell r="N69" t="str">
            <v>II</v>
          </cell>
          <cell r="P69" t="str">
            <v>PEKERJAAN GALIAN DAN TANAH</v>
          </cell>
          <cell r="U69">
            <v>89615.16</v>
          </cell>
        </row>
        <row r="70">
          <cell r="N70" t="str">
            <v>III</v>
          </cell>
          <cell r="P70" t="str">
            <v>PEKERJAAN PASANGAN DAN BETON</v>
          </cell>
          <cell r="U70">
            <v>23497675.050000001</v>
          </cell>
        </row>
        <row r="71">
          <cell r="N71" t="str">
            <v>IV</v>
          </cell>
          <cell r="P71" t="str">
            <v>PEKERJAAN PAGAR/ PINTU  BESI</v>
          </cell>
          <cell r="U71">
            <v>6505149.1500000004</v>
          </cell>
        </row>
        <row r="72">
          <cell r="N72" t="str">
            <v>V</v>
          </cell>
          <cell r="P72" t="str">
            <v>PEKERJAAN LANTAI / PAVING / PENGECATAN</v>
          </cell>
          <cell r="U72">
            <v>12667540.100000001</v>
          </cell>
        </row>
        <row r="73">
          <cell r="N73" t="str">
            <v>VI</v>
          </cell>
          <cell r="P73" t="str">
            <v>PEKERJAAN PEMBUANGAN SISA PEKERJAAN</v>
          </cell>
          <cell r="U73">
            <v>0</v>
          </cell>
        </row>
        <row r="74">
          <cell r="P74" t="str">
            <v>JUMLAH ( I  s/d.  VI)</v>
          </cell>
          <cell r="U74">
            <v>45008956.520000003</v>
          </cell>
        </row>
        <row r="75">
          <cell r="P75" t="str">
            <v>PPN 10%</v>
          </cell>
          <cell r="U75">
            <v>4500895.6520000007</v>
          </cell>
        </row>
        <row r="76">
          <cell r="P76" t="str">
            <v>TOTAL</v>
          </cell>
          <cell r="U76">
            <v>49509852.172000006</v>
          </cell>
        </row>
        <row r="77">
          <cell r="P77" t="str">
            <v>DIBULATKAN</v>
          </cell>
          <cell r="U77">
            <v>49509000</v>
          </cell>
        </row>
        <row r="79">
          <cell r="N79" t="str">
            <v>Terbilang</v>
          </cell>
          <cell r="O79" t="str">
            <v>:</v>
          </cell>
          <cell r="P79" t="str">
            <v>Empat Puluh Sembilan Juta Lima Ratus Sembilan Ribu Rupiah</v>
          </cell>
        </row>
        <row r="82">
          <cell r="R82" t="str">
            <v>Bandar Lampung, .................2006</v>
          </cell>
        </row>
        <row r="83">
          <cell r="N83" t="str">
            <v>Disetujui</v>
          </cell>
        </row>
        <row r="84">
          <cell r="N84" t="str">
            <v>Pejabat Pembuat Komitmen/Pimpinan Kegiatan</v>
          </cell>
          <cell r="R84" t="str">
            <v>PANITIA PELELANGAN</v>
          </cell>
        </row>
        <row r="90">
          <cell r="N90" t="str">
            <v>A  Z  W  A  R,ST</v>
          </cell>
          <cell r="R90" t="str">
            <v>FAISOL MUCHTAR,ST</v>
          </cell>
        </row>
        <row r="91">
          <cell r="N91" t="str">
            <v>NIP.460020553</v>
          </cell>
          <cell r="R91" t="str">
            <v>NIP. 460021411</v>
          </cell>
        </row>
      </sheetData>
      <sheetData sheetId="8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SD Negeri 1 Pecoh Raya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Pembongkaran Pagar Lama / Pas. Bata</v>
          </cell>
          <cell r="H13" t="str">
            <v>L.3</v>
          </cell>
          <cell r="I13">
            <v>2.5</v>
          </cell>
          <cell r="J13" t="str">
            <v>m3</v>
          </cell>
          <cell r="K13">
            <v>116400</v>
          </cell>
          <cell r="L13">
            <v>291000</v>
          </cell>
        </row>
        <row r="14">
          <cell r="B14">
            <v>2</v>
          </cell>
          <cell r="D14" t="str">
            <v>Pembersihan Lokasi</v>
          </cell>
          <cell r="H14" t="str">
            <v>SNI-T-01-1991.1.5</v>
          </cell>
          <cell r="I14">
            <v>20.399999999999999</v>
          </cell>
          <cell r="J14" t="str">
            <v>M2</v>
          </cell>
          <cell r="K14">
            <v>3560</v>
          </cell>
          <cell r="L14">
            <v>72624</v>
          </cell>
        </row>
        <row r="15">
          <cell r="B15">
            <v>3</v>
          </cell>
          <cell r="D15" t="str">
            <v>Pasangan Bouwplank</v>
          </cell>
          <cell r="H15" t="str">
            <v>SNI-T-01-1991.1.6</v>
          </cell>
          <cell r="I15">
            <v>17</v>
          </cell>
          <cell r="J15" t="str">
            <v>M1</v>
          </cell>
          <cell r="K15">
            <v>26077.06</v>
          </cell>
          <cell r="L15">
            <v>443310.02</v>
          </cell>
        </row>
        <row r="16">
          <cell r="B16">
            <v>4</v>
          </cell>
          <cell r="D16" t="str">
            <v>Direksi Keet (Sewa)</v>
          </cell>
          <cell r="H16" t="str">
            <v>ls</v>
          </cell>
          <cell r="I16">
            <v>1</v>
          </cell>
          <cell r="J16" t="str">
            <v>Unit</v>
          </cell>
          <cell r="K16">
            <v>800000</v>
          </cell>
          <cell r="L16">
            <v>800000</v>
          </cell>
        </row>
        <row r="17">
          <cell r="B17">
            <v>5</v>
          </cell>
          <cell r="D17" t="str">
            <v>P3K</v>
          </cell>
          <cell r="H17" t="str">
            <v>ls</v>
          </cell>
          <cell r="I17">
            <v>1</v>
          </cell>
          <cell r="J17" t="str">
            <v>Unit</v>
          </cell>
          <cell r="K17">
            <v>100000</v>
          </cell>
          <cell r="L17">
            <v>100000</v>
          </cell>
        </row>
        <row r="18">
          <cell r="B18">
            <v>6</v>
          </cell>
          <cell r="D18" t="str">
            <v>Dokumentasi 0%, 25%, 50% dan 100%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B19">
            <v>7</v>
          </cell>
          <cell r="D19" t="str">
            <v>Papan Nama Proyek</v>
          </cell>
          <cell r="H19" t="str">
            <v>ls</v>
          </cell>
          <cell r="I19">
            <v>1</v>
          </cell>
          <cell r="J19" t="str">
            <v>Unit</v>
          </cell>
          <cell r="K19">
            <v>250000</v>
          </cell>
          <cell r="L19">
            <v>250000</v>
          </cell>
        </row>
        <row r="20">
          <cell r="D20" t="str">
            <v>SUB TOTAL  I</v>
          </cell>
          <cell r="L20">
            <v>1915934.02</v>
          </cell>
        </row>
        <row r="21">
          <cell r="B21" t="str">
            <v>II</v>
          </cell>
          <cell r="D21" t="str">
            <v>PEKERJAAN GALIAN DAN TANAH</v>
          </cell>
        </row>
        <row r="22">
          <cell r="B22">
            <v>1</v>
          </cell>
          <cell r="D22" t="str">
            <v>Pek. Galian tanah lubang pondasi</v>
          </cell>
          <cell r="H22" t="str">
            <v>A.1</v>
          </cell>
          <cell r="I22">
            <v>2.9579999999999997</v>
          </cell>
          <cell r="J22" t="str">
            <v>M3</v>
          </cell>
          <cell r="K22">
            <v>19775</v>
          </cell>
          <cell r="L22">
            <v>58494.45</v>
          </cell>
        </row>
        <row r="23">
          <cell r="B23">
            <v>2</v>
          </cell>
          <cell r="D23" t="str">
            <v>Pek. Urugan tanah sisi pondasi</v>
          </cell>
          <cell r="H23" t="str">
            <v>A.16</v>
          </cell>
          <cell r="I23">
            <v>0.73949999999999994</v>
          </cell>
          <cell r="J23" t="str">
            <v>M3</v>
          </cell>
          <cell r="K23">
            <v>6660</v>
          </cell>
          <cell r="L23">
            <v>4925.07</v>
          </cell>
        </row>
        <row r="24">
          <cell r="B24">
            <v>3</v>
          </cell>
          <cell r="D24" t="str">
            <v>Pek. Urugan pasir di bawah pondasi t= 5 Cm</v>
          </cell>
          <cell r="H24" t="str">
            <v>A.18</v>
          </cell>
          <cell r="I24">
            <v>8.5000000000000006E-2</v>
          </cell>
          <cell r="J24" t="str">
            <v>M3</v>
          </cell>
          <cell r="K24">
            <v>146691.20000000001</v>
          </cell>
          <cell r="L24">
            <v>12468.75</v>
          </cell>
        </row>
        <row r="25">
          <cell r="D25" t="str">
            <v>SUB TOTAL  II</v>
          </cell>
          <cell r="L25">
            <v>75888.26999999999</v>
          </cell>
        </row>
        <row r="26">
          <cell r="B26" t="str">
            <v>III</v>
          </cell>
          <cell r="D26" t="str">
            <v>PEKERJAAN PASANGAN DAN BETON</v>
          </cell>
        </row>
        <row r="27">
          <cell r="B27">
            <v>1</v>
          </cell>
          <cell r="D27" t="str">
            <v>Pas. Pondasi Batu Belah hitam adk. 1 : 4</v>
          </cell>
          <cell r="H27" t="str">
            <v>G.32h+G.26(a)</v>
          </cell>
          <cell r="I27">
            <v>3.9439999999999995</v>
          </cell>
          <cell r="J27" t="str">
            <v>M3</v>
          </cell>
          <cell r="K27">
            <v>527127.02</v>
          </cell>
          <cell r="L27">
            <v>2078988.97</v>
          </cell>
        </row>
        <row r="28">
          <cell r="B28">
            <v>2</v>
          </cell>
          <cell r="D28" t="str">
            <v>Pas. Sloof 15/25</v>
          </cell>
          <cell r="H28" t="str">
            <v>G.41+3/4 I.2(a)+1/2 F.8</v>
          </cell>
          <cell r="I28">
            <v>1.02</v>
          </cell>
          <cell r="J28" t="str">
            <v>M3</v>
          </cell>
          <cell r="K28">
            <v>2649475.14</v>
          </cell>
          <cell r="L28">
            <v>2702464.64</v>
          </cell>
        </row>
        <row r="29">
          <cell r="B29">
            <v>3</v>
          </cell>
          <cell r="D29" t="str">
            <v>Pas. Kolom 25/25</v>
          </cell>
          <cell r="H29" t="str">
            <v>G.41+3/4 I.2(a)+1/2 F.8</v>
          </cell>
          <cell r="I29">
            <v>1.3125</v>
          </cell>
          <cell r="J29" t="str">
            <v>M3</v>
          </cell>
          <cell r="K29">
            <v>2649475.14</v>
          </cell>
          <cell r="L29">
            <v>3477436.12</v>
          </cell>
        </row>
        <row r="30">
          <cell r="B30">
            <v>4</v>
          </cell>
          <cell r="D30" t="str">
            <v>Pas. Dinding Bata adk 1:4</v>
          </cell>
          <cell r="H30" t="str">
            <v>G.33h+G.32a</v>
          </cell>
          <cell r="I30">
            <v>0.1125</v>
          </cell>
          <cell r="J30" t="str">
            <v>M3</v>
          </cell>
          <cell r="K30">
            <v>383258.81</v>
          </cell>
          <cell r="L30">
            <v>43116.62</v>
          </cell>
        </row>
        <row r="31">
          <cell r="B31">
            <v>5</v>
          </cell>
          <cell r="D31" t="str">
            <v>Plesteran Dinding adk 1: 4</v>
          </cell>
          <cell r="H31" t="str">
            <v>G.50q+G.48</v>
          </cell>
          <cell r="I31">
            <v>2.25</v>
          </cell>
          <cell r="J31" t="str">
            <v>M2</v>
          </cell>
          <cell r="K31">
            <v>19133.61</v>
          </cell>
          <cell r="L31">
            <v>43050.62</v>
          </cell>
        </row>
        <row r="32">
          <cell r="D32" t="str">
            <v>SUB TOTAL  III</v>
          </cell>
          <cell r="L32">
            <v>8345056.9700000007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37.799999999999997</v>
          </cell>
          <cell r="J34" t="str">
            <v>M2</v>
          </cell>
          <cell r="K34">
            <v>249511.5</v>
          </cell>
          <cell r="L34">
            <v>9431534.6999999993</v>
          </cell>
        </row>
        <row r="35">
          <cell r="B35">
            <v>2</v>
          </cell>
          <cell r="D35" t="str">
            <v>Pintu Besi Dorong</v>
          </cell>
          <cell r="H35" t="str">
            <v>Supl.BMPK.17</v>
          </cell>
          <cell r="I35">
            <v>7.2</v>
          </cell>
          <cell r="J35" t="str">
            <v>M2</v>
          </cell>
          <cell r="K35">
            <v>340533.33</v>
          </cell>
          <cell r="L35">
            <v>2451839.98</v>
          </cell>
        </row>
        <row r="36">
          <cell r="B36">
            <v>3</v>
          </cell>
          <cell r="D36" t="str">
            <v>Pintu Besi Kipas</v>
          </cell>
          <cell r="H36" t="str">
            <v>Supl.BMPK.17</v>
          </cell>
          <cell r="I36">
            <v>6.3</v>
          </cell>
          <cell r="J36" t="str">
            <v>M2</v>
          </cell>
          <cell r="K36">
            <v>340533.33</v>
          </cell>
          <cell r="L36">
            <v>2145359.98</v>
          </cell>
        </row>
        <row r="37">
          <cell r="B37">
            <v>4</v>
          </cell>
          <cell r="D37" t="str">
            <v>Pasang Roda Pintu Dorong</v>
          </cell>
          <cell r="H37" t="str">
            <v>Ls</v>
          </cell>
          <cell r="I37">
            <v>2</v>
          </cell>
          <cell r="J37" t="str">
            <v>Bh</v>
          </cell>
          <cell r="K37">
            <v>30000</v>
          </cell>
          <cell r="L37">
            <v>60000</v>
          </cell>
        </row>
        <row r="38">
          <cell r="B38">
            <v>5</v>
          </cell>
          <cell r="D38" t="str">
            <v>Pasang Rell Pintu Dorong Lengkap</v>
          </cell>
          <cell r="H38" t="str">
            <v>Supl.BMPK.17C</v>
          </cell>
          <cell r="I38">
            <v>11</v>
          </cell>
          <cell r="J38" t="str">
            <v>M'</v>
          </cell>
          <cell r="K38">
            <v>77302.52</v>
          </cell>
          <cell r="L38">
            <v>850327.72</v>
          </cell>
        </row>
        <row r="39">
          <cell r="B39">
            <v>6</v>
          </cell>
          <cell r="D39" t="str">
            <v>Pasang Engsel Pintu Besi</v>
          </cell>
          <cell r="H39" t="str">
            <v>Supl.BMPK.2A</v>
          </cell>
          <cell r="I39">
            <v>6</v>
          </cell>
          <cell r="J39" t="str">
            <v>Bh</v>
          </cell>
          <cell r="K39">
            <v>0</v>
          </cell>
          <cell r="L39">
            <v>0</v>
          </cell>
        </row>
        <row r="40">
          <cell r="B40">
            <v>7</v>
          </cell>
          <cell r="D40" t="str">
            <v>Pasang Grendel Pintu Besi</v>
          </cell>
          <cell r="H40" t="str">
            <v>Ls</v>
          </cell>
          <cell r="I40">
            <v>2</v>
          </cell>
          <cell r="J40" t="str">
            <v>Set</v>
          </cell>
          <cell r="K40">
            <v>30000</v>
          </cell>
          <cell r="L40">
            <v>60000</v>
          </cell>
        </row>
        <row r="41">
          <cell r="D41" t="str">
            <v>SUB TOTAL  IV</v>
          </cell>
          <cell r="L41">
            <v>14999062.380000001</v>
          </cell>
        </row>
        <row r="42">
          <cell r="B42" t="str">
            <v>V</v>
          </cell>
          <cell r="D42" t="str">
            <v>PEKERJAAN LANTAI / PAVING / PENGECATAN</v>
          </cell>
        </row>
        <row r="43">
          <cell r="B43">
            <v>1</v>
          </cell>
          <cell r="D43" t="str">
            <v>Pengecatan Dinding</v>
          </cell>
          <cell r="H43" t="str">
            <v>G.53.1</v>
          </cell>
          <cell r="I43">
            <v>2.25</v>
          </cell>
          <cell r="J43" t="str">
            <v>M2</v>
          </cell>
          <cell r="K43">
            <v>7561</v>
          </cell>
          <cell r="L43">
            <v>17012.25</v>
          </cell>
        </row>
        <row r="44">
          <cell r="D44" t="str">
            <v>SUB TOTAL  V</v>
          </cell>
          <cell r="L44">
            <v>17012.25</v>
          </cell>
        </row>
        <row r="45">
          <cell r="B45" t="str">
            <v>VI</v>
          </cell>
          <cell r="D45" t="str">
            <v>PEKERJAAN PEMBUANGAN SISA PEKERJAAN</v>
          </cell>
        </row>
        <row r="46">
          <cell r="B46">
            <v>1</v>
          </cell>
          <cell r="D46" t="str">
            <v>Pembuangan Sisa Pekerjaan</v>
          </cell>
          <cell r="H46" t="str">
            <v>Ls</v>
          </cell>
          <cell r="I46">
            <v>1</v>
          </cell>
          <cell r="J46" t="str">
            <v>Ls</v>
          </cell>
          <cell r="K46">
            <v>211000</v>
          </cell>
          <cell r="L46">
            <v>211000</v>
          </cell>
        </row>
        <row r="47">
          <cell r="D47" t="str">
            <v>SUB TOTAL  VI</v>
          </cell>
          <cell r="L47">
            <v>211000</v>
          </cell>
        </row>
        <row r="48">
          <cell r="B48" t="str">
            <v>A</v>
          </cell>
          <cell r="D48" t="str">
            <v>JUMLAH</v>
          </cell>
          <cell r="L48">
            <v>25709453.889999997</v>
          </cell>
        </row>
        <row r="49">
          <cell r="B49" t="str">
            <v>B</v>
          </cell>
          <cell r="D49" t="str">
            <v>PPN 10% x A</v>
          </cell>
          <cell r="L49">
            <v>2570945.389</v>
          </cell>
        </row>
        <row r="50">
          <cell r="B50" t="str">
            <v>C</v>
          </cell>
          <cell r="D50" t="str">
            <v>JUMLAH  (A+B)</v>
          </cell>
          <cell r="L50">
            <v>28280399.278999995</v>
          </cell>
        </row>
        <row r="51">
          <cell r="B51" t="str">
            <v>D</v>
          </cell>
          <cell r="D51" t="str">
            <v>JUMLAH DIBULATKAN</v>
          </cell>
          <cell r="L51">
            <v>28280000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SD Negeri 1 Pecoh Raya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PERSIAPAN</v>
          </cell>
          <cell r="U63">
            <v>1915934.02</v>
          </cell>
        </row>
        <row r="64">
          <cell r="N64" t="str">
            <v>II</v>
          </cell>
          <cell r="P64" t="str">
            <v>PEKERJAAN GALIAN DAN TANAH</v>
          </cell>
          <cell r="U64">
            <v>75888.26999999999</v>
          </cell>
        </row>
        <row r="65">
          <cell r="N65" t="str">
            <v>III</v>
          </cell>
          <cell r="P65" t="str">
            <v>PEKERJAAN PASANGAN DAN BETON</v>
          </cell>
          <cell r="U65">
            <v>8345056.9700000007</v>
          </cell>
        </row>
        <row r="66">
          <cell r="N66" t="str">
            <v>IV</v>
          </cell>
          <cell r="P66" t="str">
            <v>PEKERJAAN PAGAR/ PINTU  BESI</v>
          </cell>
          <cell r="U66">
            <v>14999062.380000001</v>
          </cell>
        </row>
        <row r="67">
          <cell r="N67" t="str">
            <v>V</v>
          </cell>
          <cell r="P67" t="str">
            <v>PEKERJAAN LANTAI / PAVING / PENGECATAN</v>
          </cell>
          <cell r="U67">
            <v>17012.25</v>
          </cell>
        </row>
        <row r="68">
          <cell r="N68" t="str">
            <v>VI</v>
          </cell>
          <cell r="P68" t="str">
            <v>PEKERJAAN PEMBUANGAN SISA PEKERJAAN</v>
          </cell>
          <cell r="U68">
            <v>211000</v>
          </cell>
        </row>
        <row r="69">
          <cell r="P69" t="str">
            <v>JUMLAH ( I  s/d.  VI)</v>
          </cell>
          <cell r="U69">
            <v>25563953.890000001</v>
          </cell>
        </row>
        <row r="70">
          <cell r="P70" t="str">
            <v>PPN 10%</v>
          </cell>
          <cell r="U70">
            <v>2556395.3890000004</v>
          </cell>
        </row>
        <row r="71">
          <cell r="P71" t="str">
            <v>TOTAL</v>
          </cell>
          <cell r="U71">
            <v>28120349.278999999</v>
          </cell>
        </row>
        <row r="72">
          <cell r="P72" t="str">
            <v>DIBULATKAN</v>
          </cell>
          <cell r="U72">
            <v>28120000</v>
          </cell>
        </row>
        <row r="74">
          <cell r="N74" t="str">
            <v>Terbilang</v>
          </cell>
          <cell r="O74" t="str">
            <v>:</v>
          </cell>
          <cell r="P74" t="str">
            <v>Dua Puluh Delapan Juta Seratus Dua Puluh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9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SD Negeri 2 Kemiling Permai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141.84</v>
          </cell>
          <cell r="J13" t="str">
            <v>M2</v>
          </cell>
          <cell r="K13">
            <v>3560</v>
          </cell>
          <cell r="L13">
            <v>504950.4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55</v>
          </cell>
          <cell r="J14" t="str">
            <v>M1</v>
          </cell>
          <cell r="K14">
            <v>26077.06</v>
          </cell>
          <cell r="L14">
            <v>1434238.3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800000</v>
          </cell>
          <cell r="L15">
            <v>800000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100000</v>
          </cell>
          <cell r="L16">
            <v>100000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D19" t="str">
            <v>SUB TOTAL  I</v>
          </cell>
          <cell r="L19">
            <v>3339188.7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33.975000000000001</v>
          </cell>
          <cell r="J21" t="str">
            <v>M3</v>
          </cell>
          <cell r="K21">
            <v>19775</v>
          </cell>
          <cell r="L21">
            <v>671855.63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8.4939999999999998</v>
          </cell>
          <cell r="J22" t="str">
            <v>M3</v>
          </cell>
          <cell r="K22">
            <v>6660</v>
          </cell>
          <cell r="L22">
            <v>56570.04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2.2650000000000001</v>
          </cell>
          <cell r="J23" t="str">
            <v>M3</v>
          </cell>
          <cell r="K23">
            <v>146691.20000000001</v>
          </cell>
          <cell r="L23">
            <v>332255.57</v>
          </cell>
        </row>
        <row r="24">
          <cell r="D24" t="str">
            <v>SUB TOTAL  II</v>
          </cell>
          <cell r="L24">
            <v>1060681.24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Cor Pondasi Batu Belah hitam adk. 1 : 4</v>
          </cell>
          <cell r="H26" t="str">
            <v>G.32h+G.26(a)</v>
          </cell>
          <cell r="I26">
            <v>13.836</v>
          </cell>
          <cell r="J26" t="str">
            <v>M3</v>
          </cell>
          <cell r="K26">
            <v>527127.02</v>
          </cell>
          <cell r="L26">
            <v>7293329.4500000002</v>
          </cell>
        </row>
        <row r="27">
          <cell r="B27">
            <v>2</v>
          </cell>
          <cell r="D27" t="str">
            <v>Cor Sloof 10/25</v>
          </cell>
          <cell r="H27" t="str">
            <v>G.41+3/4 I.2(a)+1/2 F.8</v>
          </cell>
          <cell r="I27">
            <v>3.823</v>
          </cell>
          <cell r="J27" t="str">
            <v>M3</v>
          </cell>
          <cell r="K27">
            <v>2649475.14</v>
          </cell>
          <cell r="L27">
            <v>10128943.460000001</v>
          </cell>
        </row>
        <row r="28">
          <cell r="B28">
            <v>3</v>
          </cell>
          <cell r="D28" t="str">
            <v>Cor Kolom Praktis12/12</v>
          </cell>
          <cell r="H28" t="str">
            <v>G.41+3/4 I.2(a)+1/2 F.8</v>
          </cell>
          <cell r="I28">
            <v>0.82799999999999996</v>
          </cell>
          <cell r="J28" t="str">
            <v>M3</v>
          </cell>
          <cell r="K28">
            <v>2649475.14</v>
          </cell>
          <cell r="L28">
            <v>2193765.42</v>
          </cell>
        </row>
        <row r="29">
          <cell r="B29">
            <v>4</v>
          </cell>
          <cell r="D29" t="str">
            <v>Cor Kolom 25/25</v>
          </cell>
          <cell r="H29" t="str">
            <v>G.41+3/4 I.2(a)+1/2 F.8</v>
          </cell>
          <cell r="I29">
            <v>0.54700000000000004</v>
          </cell>
          <cell r="J29" t="str">
            <v>M3</v>
          </cell>
          <cell r="K29">
            <v>2649475.14</v>
          </cell>
          <cell r="L29">
            <v>1449262.9</v>
          </cell>
        </row>
        <row r="30">
          <cell r="B30">
            <v>5</v>
          </cell>
          <cell r="D30" t="str">
            <v>Cor Plat Beton t=12 Cm (depan Pintu Gerbang)</v>
          </cell>
          <cell r="H30" t="str">
            <v>G.41+3/4 I.2(a)+1/2 F.8</v>
          </cell>
          <cell r="I30">
            <v>0.61199999999999999</v>
          </cell>
          <cell r="J30" t="str">
            <v>M3</v>
          </cell>
          <cell r="K30">
            <v>2649475.14</v>
          </cell>
          <cell r="L30">
            <v>1621478.79</v>
          </cell>
        </row>
        <row r="31">
          <cell r="B31">
            <v>6</v>
          </cell>
          <cell r="D31" t="str">
            <v>Pas. Dinding Bata adk 1:4</v>
          </cell>
          <cell r="H31" t="str">
            <v>G.33h+G.32a</v>
          </cell>
          <cell r="I31">
            <v>18.535</v>
          </cell>
          <cell r="J31" t="str">
            <v>M3</v>
          </cell>
          <cell r="K31">
            <v>383258.81</v>
          </cell>
          <cell r="L31">
            <v>7103702.04</v>
          </cell>
        </row>
        <row r="32">
          <cell r="B32">
            <v>7</v>
          </cell>
          <cell r="D32" t="str">
            <v>Plesteran Dinding adk 1: 4</v>
          </cell>
          <cell r="H32" t="str">
            <v>G.50q+G.48</v>
          </cell>
          <cell r="I32">
            <v>308.923</v>
          </cell>
          <cell r="J32" t="str">
            <v>M2</v>
          </cell>
          <cell r="K32">
            <v>19133.61</v>
          </cell>
          <cell r="L32">
            <v>5910812.2000000002</v>
          </cell>
        </row>
        <row r="33">
          <cell r="D33" t="str">
            <v>SUB TOTAL  III</v>
          </cell>
          <cell r="L33">
            <v>35701294.259999998</v>
          </cell>
        </row>
        <row r="34">
          <cell r="B34" t="str">
            <v>IV</v>
          </cell>
          <cell r="D34" t="str">
            <v>PEKERJAAN PAGAR/ PINTU  BESI</v>
          </cell>
        </row>
        <row r="35">
          <cell r="B35">
            <v>1</v>
          </cell>
          <cell r="D35" t="str">
            <v>Pintu Besi Dorong 1 unit L = 4.50 M</v>
          </cell>
          <cell r="H35" t="str">
            <v>Supl.BMPK.17</v>
          </cell>
          <cell r="I35">
            <v>6.75</v>
          </cell>
          <cell r="J35" t="str">
            <v>M2</v>
          </cell>
          <cell r="K35">
            <v>340533.33</v>
          </cell>
          <cell r="L35">
            <v>2298599.98</v>
          </cell>
        </row>
        <row r="36">
          <cell r="B36">
            <v>2</v>
          </cell>
          <cell r="D36" t="str">
            <v>Pintu Besi Kipas 2 unit L = 1.50 M</v>
          </cell>
          <cell r="H36" t="str">
            <v>Supl.BMPK.17</v>
          </cell>
          <cell r="I36">
            <v>4.5</v>
          </cell>
          <cell r="J36" t="str">
            <v>M2</v>
          </cell>
          <cell r="K36">
            <v>340533.33</v>
          </cell>
          <cell r="L36">
            <v>1532399.99</v>
          </cell>
        </row>
        <row r="37">
          <cell r="B37">
            <v>3</v>
          </cell>
          <cell r="D37" t="str">
            <v>Pasang Roda Pintu Dorong</v>
          </cell>
          <cell r="H37" t="str">
            <v>Ls</v>
          </cell>
          <cell r="I37">
            <v>2</v>
          </cell>
          <cell r="J37" t="str">
            <v>Bh</v>
          </cell>
          <cell r="K37">
            <v>30000</v>
          </cell>
          <cell r="L37">
            <v>60000</v>
          </cell>
        </row>
        <row r="38">
          <cell r="B38">
            <v>4</v>
          </cell>
          <cell r="D38" t="str">
            <v>Pasang Engsel Pintu Kipas</v>
          </cell>
          <cell r="H38" t="str">
            <v>Supl.BMPK.2A</v>
          </cell>
          <cell r="I38">
            <v>8</v>
          </cell>
          <cell r="J38" t="str">
            <v>Bh</v>
          </cell>
          <cell r="K38">
            <v>0</v>
          </cell>
          <cell r="L38">
            <v>0</v>
          </cell>
        </row>
        <row r="39">
          <cell r="B39">
            <v>5</v>
          </cell>
          <cell r="D39" t="str">
            <v>Pasang Rell Pintu Dorong Lengkap</v>
          </cell>
          <cell r="H39" t="str">
            <v>Supl.BMPK.17C</v>
          </cell>
          <cell r="I39">
            <v>9</v>
          </cell>
          <cell r="J39" t="str">
            <v>M'</v>
          </cell>
          <cell r="K39">
            <v>77302.52</v>
          </cell>
          <cell r="L39">
            <v>695722.68</v>
          </cell>
        </row>
        <row r="40">
          <cell r="B40">
            <v>6</v>
          </cell>
          <cell r="D40" t="str">
            <v>Pasang Grendel Pintu Besi</v>
          </cell>
          <cell r="H40" t="str">
            <v>Ls</v>
          </cell>
          <cell r="I40">
            <v>3</v>
          </cell>
          <cell r="J40" t="str">
            <v>Set</v>
          </cell>
          <cell r="K40">
            <v>30000</v>
          </cell>
          <cell r="L40">
            <v>90000</v>
          </cell>
        </row>
        <row r="41">
          <cell r="D41" t="str">
            <v>SUB TOTAL  IV</v>
          </cell>
          <cell r="L41">
            <v>4676722.6499999994</v>
          </cell>
        </row>
        <row r="42">
          <cell r="B42" t="str">
            <v>V</v>
          </cell>
          <cell r="D42" t="str">
            <v>PEKERJAAN LANTAI / PAVING / PENGECATAN</v>
          </cell>
        </row>
        <row r="43">
          <cell r="B43">
            <v>1</v>
          </cell>
          <cell r="D43" t="str">
            <v>Pengecatan Dinding</v>
          </cell>
          <cell r="H43" t="str">
            <v>G.53.1</v>
          </cell>
          <cell r="I43">
            <v>327.09800000000001</v>
          </cell>
          <cell r="J43" t="str">
            <v>M2</v>
          </cell>
          <cell r="K43">
            <v>7561</v>
          </cell>
          <cell r="L43">
            <v>2473187.98</v>
          </cell>
        </row>
        <row r="44">
          <cell r="D44" t="str">
            <v>SUB TOTAL  V</v>
          </cell>
          <cell r="L44">
            <v>2473187.98</v>
          </cell>
        </row>
        <row r="45">
          <cell r="B45" t="str">
            <v>VI</v>
          </cell>
          <cell r="D45" t="str">
            <v>PEKERJAAN PEMBUANGAN SISA PEKERJAAN</v>
          </cell>
        </row>
        <row r="46">
          <cell r="B46">
            <v>1</v>
          </cell>
          <cell r="D46" t="str">
            <v>Pembuangan Sisa Pekerjaan</v>
          </cell>
          <cell r="H46" t="str">
            <v>Ls</v>
          </cell>
          <cell r="I46">
            <v>1</v>
          </cell>
          <cell r="J46" t="str">
            <v>Ls</v>
          </cell>
          <cell r="K46">
            <v>213000</v>
          </cell>
          <cell r="L46">
            <v>213000</v>
          </cell>
        </row>
        <row r="47">
          <cell r="D47" t="str">
            <v>SUB TOTAL  VI</v>
          </cell>
          <cell r="L47">
            <v>213000</v>
          </cell>
        </row>
        <row r="48">
          <cell r="D48" t="str">
            <v>JUMLAH</v>
          </cell>
          <cell r="L48">
            <v>47464074.830000013</v>
          </cell>
        </row>
        <row r="49">
          <cell r="D49" t="str">
            <v>PPN 10% x A</v>
          </cell>
          <cell r="L49">
            <v>4746407.4830000019</v>
          </cell>
        </row>
        <row r="50">
          <cell r="D50" t="str">
            <v>JUMLAH  (A+B)</v>
          </cell>
          <cell r="L50">
            <v>52210482.313000016</v>
          </cell>
        </row>
        <row r="51">
          <cell r="D51" t="str">
            <v>JUMLAH DIBULATKAN</v>
          </cell>
          <cell r="L51">
            <v>52210000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SD Negeri 2 Kemiling Permai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PERSIAPAN</v>
          </cell>
          <cell r="U63">
            <v>3339188.7</v>
          </cell>
        </row>
        <row r="64">
          <cell r="N64" t="str">
            <v>II</v>
          </cell>
          <cell r="P64" t="str">
            <v>PEKERJAAN GALIAN DAN TANAH</v>
          </cell>
          <cell r="U64">
            <v>1060681.24</v>
          </cell>
        </row>
        <row r="65">
          <cell r="N65" t="str">
            <v>III</v>
          </cell>
          <cell r="P65" t="str">
            <v>PEKERJAAN PASANGAN DAN BETON</v>
          </cell>
          <cell r="U65">
            <v>35701294.259999998</v>
          </cell>
        </row>
        <row r="66">
          <cell r="N66" t="str">
            <v>IV</v>
          </cell>
          <cell r="P66" t="str">
            <v>PEKERJAAN PAGAR/ PINTU  BESI</v>
          </cell>
          <cell r="U66">
            <v>4676722.6499999994</v>
          </cell>
        </row>
        <row r="67">
          <cell r="N67" t="str">
            <v>V</v>
          </cell>
          <cell r="P67" t="str">
            <v>PEKERJAAN LANTAI / PAVING / PENGECATAN</v>
          </cell>
          <cell r="U67">
            <v>2473187.98</v>
          </cell>
        </row>
        <row r="68">
          <cell r="N68" t="str">
            <v>VI</v>
          </cell>
          <cell r="P68" t="str">
            <v>PEKERJAAN PEMBUANGAN SISA PEKERJAAN</v>
          </cell>
          <cell r="U68">
            <v>213000</v>
          </cell>
        </row>
        <row r="69">
          <cell r="P69" t="str">
            <v>JUMLAH ( I  s/d.  VI)</v>
          </cell>
          <cell r="U69">
            <v>47464074.829999991</v>
          </cell>
        </row>
        <row r="70">
          <cell r="P70" t="str">
            <v>PPN 10%</v>
          </cell>
          <cell r="U70">
            <v>4746407.4829999991</v>
          </cell>
        </row>
        <row r="71">
          <cell r="P71" t="str">
            <v>TOTAL</v>
          </cell>
          <cell r="U71">
            <v>52210482.312999994</v>
          </cell>
        </row>
        <row r="72">
          <cell r="P72" t="str">
            <v>DIBULATKAN</v>
          </cell>
          <cell r="U72">
            <v>52210000</v>
          </cell>
        </row>
        <row r="74">
          <cell r="N74" t="str">
            <v>Terbilang</v>
          </cell>
          <cell r="O74" t="str">
            <v>:</v>
          </cell>
          <cell r="P74" t="str">
            <v>Lima Puluh Dua Juta Dua Ratus Sepuluh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10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SD Negeri 1 Campang Raya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138</v>
          </cell>
          <cell r="J13" t="str">
            <v>M2</v>
          </cell>
          <cell r="K13">
            <v>3560</v>
          </cell>
          <cell r="L13">
            <v>491280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30</v>
          </cell>
          <cell r="J14" t="str">
            <v>M1</v>
          </cell>
          <cell r="K14">
            <v>26077.06</v>
          </cell>
          <cell r="L14">
            <v>782311.8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800000</v>
          </cell>
          <cell r="L15">
            <v>800000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100000</v>
          </cell>
          <cell r="L16">
            <v>100000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D19" t="str">
            <v>SUB TOTAL  I</v>
          </cell>
          <cell r="L19">
            <v>2673591.7999999998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45.96</v>
          </cell>
          <cell r="J21" t="str">
            <v>M3</v>
          </cell>
          <cell r="K21">
            <v>19775</v>
          </cell>
          <cell r="L21">
            <v>908859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11.49</v>
          </cell>
          <cell r="J22" t="str">
            <v>M3</v>
          </cell>
          <cell r="K22">
            <v>6660</v>
          </cell>
          <cell r="L22">
            <v>76523.399999999994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2.875</v>
          </cell>
          <cell r="J23" t="str">
            <v>M3</v>
          </cell>
          <cell r="K23">
            <v>146691.20000000001</v>
          </cell>
          <cell r="L23">
            <v>421737.2</v>
          </cell>
        </row>
        <row r="24">
          <cell r="D24" t="str">
            <v>SUB TOTAL  II</v>
          </cell>
          <cell r="L24">
            <v>1407119.6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27.02</v>
          </cell>
          <cell r="J26" t="str">
            <v>M3</v>
          </cell>
          <cell r="K26">
            <v>527127.02</v>
          </cell>
          <cell r="L26">
            <v>14242972.08</v>
          </cell>
        </row>
        <row r="27">
          <cell r="B27">
            <v>2</v>
          </cell>
          <cell r="D27" t="str">
            <v>Pas. Sloof 12/25</v>
          </cell>
          <cell r="H27" t="str">
            <v>G.41+3/4 I.2(a)+1/2 F.8</v>
          </cell>
          <cell r="I27">
            <v>3.56</v>
          </cell>
          <cell r="J27" t="str">
            <v>M3</v>
          </cell>
          <cell r="K27">
            <v>2649475.14</v>
          </cell>
          <cell r="L27">
            <v>9432131.5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0.93200000000000005</v>
          </cell>
          <cell r="J28" t="str">
            <v>M3</v>
          </cell>
          <cell r="K28">
            <v>2649475.14</v>
          </cell>
          <cell r="L28">
            <v>2469310.83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0.5</v>
          </cell>
          <cell r="J29" t="str">
            <v>M3</v>
          </cell>
          <cell r="K29">
            <v>2649475.14</v>
          </cell>
          <cell r="L29">
            <v>1324737.57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20.8</v>
          </cell>
          <cell r="J30" t="str">
            <v>M3</v>
          </cell>
          <cell r="K30">
            <v>383258.81</v>
          </cell>
          <cell r="L30">
            <v>7971783.25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414.5</v>
          </cell>
          <cell r="J31" t="str">
            <v>M2</v>
          </cell>
          <cell r="K31">
            <v>19133.61</v>
          </cell>
          <cell r="L31">
            <v>7930881.3499999996</v>
          </cell>
        </row>
        <row r="32">
          <cell r="D32" t="str">
            <v>SUB TOTAL  III</v>
          </cell>
          <cell r="L32">
            <v>43371816.579999998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Perbaikan Pintu Besi Dorong</v>
          </cell>
          <cell r="H34" t="str">
            <v>Ls</v>
          </cell>
          <cell r="I34">
            <v>1</v>
          </cell>
          <cell r="J34" t="str">
            <v>Unit</v>
          </cell>
          <cell r="K34">
            <v>200000</v>
          </cell>
          <cell r="L34">
            <v>200000</v>
          </cell>
        </row>
        <row r="35">
          <cell r="B35">
            <v>2</v>
          </cell>
          <cell r="D35" t="str">
            <v>Pasang Roda Pintu Dorong</v>
          </cell>
          <cell r="H35" t="str">
            <v>Ls</v>
          </cell>
          <cell r="I35">
            <v>2</v>
          </cell>
          <cell r="J35" t="str">
            <v>Bh</v>
          </cell>
          <cell r="K35">
            <v>30000</v>
          </cell>
          <cell r="L35">
            <v>60000</v>
          </cell>
        </row>
        <row r="36">
          <cell r="B36">
            <v>3</v>
          </cell>
          <cell r="D36" t="str">
            <v>Pasang Rell Pintu Dorong Lengkap</v>
          </cell>
          <cell r="H36" t="str">
            <v>Supl.BMPK.17C</v>
          </cell>
          <cell r="I36">
            <v>7</v>
          </cell>
          <cell r="J36" t="str">
            <v>M'</v>
          </cell>
          <cell r="K36">
            <v>77302.52</v>
          </cell>
          <cell r="L36">
            <v>541117.64</v>
          </cell>
        </row>
        <row r="37">
          <cell r="B37">
            <v>4</v>
          </cell>
          <cell r="D37" t="str">
            <v>Pasang Grendel Pintu Besi</v>
          </cell>
          <cell r="H37" t="str">
            <v>Ls</v>
          </cell>
          <cell r="I37">
            <v>1</v>
          </cell>
          <cell r="J37" t="str">
            <v>Set</v>
          </cell>
          <cell r="K37">
            <v>30000</v>
          </cell>
          <cell r="L37">
            <v>30000</v>
          </cell>
        </row>
        <row r="38">
          <cell r="D38" t="str">
            <v>SUB TOTAL  IV</v>
          </cell>
          <cell r="L38">
            <v>831117.64</v>
          </cell>
        </row>
        <row r="39">
          <cell r="B39" t="str">
            <v>V</v>
          </cell>
          <cell r="D39" t="str">
            <v>PEKERJAAN / PENGECATAN</v>
          </cell>
        </row>
        <row r="40">
          <cell r="B40">
            <v>1</v>
          </cell>
          <cell r="D40" t="str">
            <v>Pengecatan Dinding</v>
          </cell>
          <cell r="H40" t="str">
            <v>G.53.1</v>
          </cell>
          <cell r="I40">
            <v>434.3</v>
          </cell>
          <cell r="J40" t="str">
            <v>M2</v>
          </cell>
          <cell r="K40">
            <v>7561</v>
          </cell>
          <cell r="L40">
            <v>3283742.3</v>
          </cell>
        </row>
        <row r="41">
          <cell r="D41" t="str">
            <v>SUB TOTAL  V</v>
          </cell>
          <cell r="L41">
            <v>3283742.3</v>
          </cell>
        </row>
        <row r="42">
          <cell r="B42" t="str">
            <v>VI</v>
          </cell>
          <cell r="D42" t="str">
            <v>PEKERJAAN PEMBUANGAN SISA PEKERJAAN</v>
          </cell>
        </row>
        <row r="43">
          <cell r="B43">
            <v>1</v>
          </cell>
          <cell r="D43" t="str">
            <v>Pembuangan Sisa Pekerjaan</v>
          </cell>
          <cell r="H43" t="str">
            <v>Ls</v>
          </cell>
          <cell r="I43">
            <v>1</v>
          </cell>
          <cell r="J43" t="str">
            <v>Ls</v>
          </cell>
          <cell r="K43">
            <v>200000</v>
          </cell>
          <cell r="L43">
            <v>200000</v>
          </cell>
        </row>
        <row r="44">
          <cell r="D44" t="str">
            <v>SUB TOTAL  VI</v>
          </cell>
          <cell r="L44">
            <v>200000</v>
          </cell>
        </row>
        <row r="45">
          <cell r="D45" t="str">
            <v>JUMLAH</v>
          </cell>
          <cell r="L45">
            <v>51767387.920000002</v>
          </cell>
        </row>
        <row r="46">
          <cell r="D46" t="str">
            <v>PPN 10% x A</v>
          </cell>
          <cell r="L46">
            <v>5176738.7920000004</v>
          </cell>
        </row>
        <row r="47">
          <cell r="D47" t="str">
            <v>JUMLAH  (A+B)</v>
          </cell>
          <cell r="L47">
            <v>56944126.712000005</v>
          </cell>
        </row>
        <row r="48">
          <cell r="D48" t="str">
            <v>JUMLAH DIBULATKAN</v>
          </cell>
          <cell r="L48">
            <v>56944000</v>
          </cell>
        </row>
        <row r="49">
          <cell r="N49" t="str">
            <v>REKAPITULASI RENCANA ANGGARAN BIAYA</v>
          </cell>
        </row>
        <row r="50">
          <cell r="N50" t="str">
            <v>OWNER'S ESTIMATE</v>
          </cell>
        </row>
        <row r="52">
          <cell r="N52" t="str">
            <v>Kegiatan</v>
          </cell>
          <cell r="O52" t="str">
            <v>:</v>
          </cell>
          <cell r="P52" t="str">
            <v>Pembangunan / Pemagaran Gedung Kantor, Gedung Sekolah</v>
          </cell>
        </row>
        <row r="53">
          <cell r="N53" t="str">
            <v>Pekerjaan</v>
          </cell>
          <cell r="O53" t="str">
            <v>:</v>
          </cell>
          <cell r="P53" t="str">
            <v>Pemagaran SD Negeri 1 Campang Raya</v>
          </cell>
        </row>
        <row r="54">
          <cell r="N54" t="str">
            <v>Lokasi</v>
          </cell>
          <cell r="O54" t="str">
            <v>:</v>
          </cell>
          <cell r="P54" t="str">
            <v>Kota Bandar Lampung</v>
          </cell>
        </row>
        <row r="55">
          <cell r="N55" t="str">
            <v>Tahun Anggaran</v>
          </cell>
          <cell r="O55" t="str">
            <v>:</v>
          </cell>
          <cell r="P55" t="str">
            <v>2006</v>
          </cell>
        </row>
        <row r="57">
          <cell r="N57" t="str">
            <v>NO.</v>
          </cell>
          <cell r="O57" t="str">
            <v>URAIAN  PEKERJAAN</v>
          </cell>
          <cell r="U57" t="str">
            <v>TOTAL</v>
          </cell>
        </row>
        <row r="58">
          <cell r="U58" t="str">
            <v>HARGA</v>
          </cell>
        </row>
        <row r="59">
          <cell r="U59" t="str">
            <v>(Rp)</v>
          </cell>
        </row>
        <row r="60">
          <cell r="N60" t="str">
            <v>I</v>
          </cell>
          <cell r="P60" t="str">
            <v>PEKERJAAN PERSIAPAN</v>
          </cell>
          <cell r="U60">
            <v>2673591.7999999998</v>
          </cell>
        </row>
        <row r="61">
          <cell r="N61" t="str">
            <v>II</v>
          </cell>
          <cell r="P61" t="str">
            <v>PEKERJAAN GALIAN DAN TANAH</v>
          </cell>
          <cell r="U61">
            <v>1407119.6</v>
          </cell>
        </row>
        <row r="62">
          <cell r="N62" t="str">
            <v>III</v>
          </cell>
          <cell r="P62" t="str">
            <v>PEKERJAAN PASANGAN DAN BETON</v>
          </cell>
          <cell r="U62">
            <v>43371816.579999998</v>
          </cell>
        </row>
        <row r="63">
          <cell r="N63" t="str">
            <v>IV</v>
          </cell>
          <cell r="P63" t="str">
            <v>PEKERJAAN PAGAR/ PINTU  BESI</v>
          </cell>
          <cell r="U63">
            <v>831117.64</v>
          </cell>
        </row>
        <row r="64">
          <cell r="N64" t="str">
            <v>V</v>
          </cell>
          <cell r="P64" t="str">
            <v>PEKERJAAN / PENGECATAN</v>
          </cell>
          <cell r="U64">
            <v>3283742.3</v>
          </cell>
        </row>
        <row r="65">
          <cell r="N65" t="str">
            <v>VI</v>
          </cell>
          <cell r="P65" t="str">
            <v>PEKERJAAN PEMBUANGAN SISA PEKERJAAN</v>
          </cell>
          <cell r="U65">
            <v>200000</v>
          </cell>
        </row>
        <row r="66">
          <cell r="P66" t="str">
            <v>JUMLAH ( I  s/d.  VI)</v>
          </cell>
          <cell r="U66">
            <v>51767387.919999994</v>
          </cell>
        </row>
        <row r="67">
          <cell r="P67" t="str">
            <v>PPN 10%</v>
          </cell>
          <cell r="U67">
            <v>5176738.7919999994</v>
          </cell>
        </row>
        <row r="68">
          <cell r="P68" t="str">
            <v>TOTAL</v>
          </cell>
          <cell r="U68">
            <v>56944126.711999997</v>
          </cell>
        </row>
        <row r="69">
          <cell r="P69" t="str">
            <v>DIBULATKAN</v>
          </cell>
          <cell r="U69">
            <v>56944000</v>
          </cell>
        </row>
        <row r="71">
          <cell r="N71" t="str">
            <v>Terbilang</v>
          </cell>
          <cell r="O71" t="str">
            <v>:</v>
          </cell>
          <cell r="P71" t="str">
            <v>Lima Puluh Enam Juta Sembilan Ratus Empat Puluh Empat Ribu Rupiah</v>
          </cell>
        </row>
        <row r="74">
          <cell r="R74" t="str">
            <v>Bandar Lampung, .................2006</v>
          </cell>
        </row>
        <row r="75">
          <cell r="N75" t="str">
            <v>Disetujui</v>
          </cell>
        </row>
        <row r="76">
          <cell r="N76" t="str">
            <v>Pejabat Pembuat Komitmen/Pimpinan Kegiatan</v>
          </cell>
          <cell r="R76" t="str">
            <v>PANITIA PELELANGAN</v>
          </cell>
        </row>
        <row r="82">
          <cell r="N82" t="str">
            <v>A  Z  W  A  R,ST</v>
          </cell>
          <cell r="R82" t="str">
            <v>FAISOL MUCHTAR,ST</v>
          </cell>
        </row>
        <row r="83">
          <cell r="N83" t="str">
            <v>NIP.460020553</v>
          </cell>
          <cell r="R83" t="str">
            <v>NIP. 460021411</v>
          </cell>
        </row>
      </sheetData>
      <sheetData sheetId="1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SMP Negeri 31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229.92</v>
          </cell>
          <cell r="J13" t="str">
            <v>M2</v>
          </cell>
          <cell r="K13">
            <v>3560</v>
          </cell>
          <cell r="L13">
            <v>818515.2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135</v>
          </cell>
          <cell r="J14" t="str">
            <v>M1</v>
          </cell>
          <cell r="K14">
            <v>26077.06</v>
          </cell>
          <cell r="L14">
            <v>3520403.1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800000</v>
          </cell>
          <cell r="L15">
            <v>800000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100000</v>
          </cell>
          <cell r="L16">
            <v>100000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D19" t="str">
            <v>SUB TOTAL  I</v>
          </cell>
          <cell r="L19">
            <v>5738918.2999999998</v>
          </cell>
        </row>
        <row r="20">
          <cell r="B20" t="str">
            <v>II</v>
          </cell>
          <cell r="D20" t="str">
            <v>PEKERJAAN PASANGAN PAGAR BETON PRECAST</v>
          </cell>
        </row>
        <row r="21">
          <cell r="B21">
            <v>1</v>
          </cell>
          <cell r="D21" t="str">
            <v>Pas. Pagar Beton Precast Lengkap h =2,00 m</v>
          </cell>
          <cell r="H21" t="str">
            <v>Supl.2d</v>
          </cell>
          <cell r="I21">
            <v>550.4</v>
          </cell>
          <cell r="J21" t="str">
            <v>M2</v>
          </cell>
          <cell r="K21">
            <v>122908.16</v>
          </cell>
          <cell r="L21">
            <v>67648651.260000005</v>
          </cell>
        </row>
        <row r="22">
          <cell r="B22">
            <v>2</v>
          </cell>
          <cell r="D22" t="str">
            <v>Pas. Kolom 25/25</v>
          </cell>
          <cell r="H22" t="str">
            <v>G.41+3/4 I.2(a)+1/2 F.8</v>
          </cell>
          <cell r="I22">
            <v>0.875</v>
          </cell>
          <cell r="J22" t="str">
            <v>M3</v>
          </cell>
          <cell r="K22">
            <v>2649475.14</v>
          </cell>
          <cell r="L22">
            <v>2318290.75</v>
          </cell>
        </row>
        <row r="23">
          <cell r="D23" t="str">
            <v>SUB TOTAL  II</v>
          </cell>
          <cell r="L23">
            <v>69966942.010000005</v>
          </cell>
        </row>
        <row r="24">
          <cell r="B24" t="str">
            <v>III</v>
          </cell>
          <cell r="D24" t="str">
            <v>PEKERJAAN PAGAR/ PINTU  BESI</v>
          </cell>
        </row>
        <row r="25">
          <cell r="B25">
            <v>1</v>
          </cell>
          <cell r="D25" t="str">
            <v>Pintu Besi Dorong</v>
          </cell>
          <cell r="H25" t="str">
            <v>Supl.BMPK.17</v>
          </cell>
          <cell r="I25">
            <v>6.75</v>
          </cell>
          <cell r="J25" t="str">
            <v>M2</v>
          </cell>
          <cell r="K25">
            <v>340533.33</v>
          </cell>
          <cell r="L25">
            <v>2298599.98</v>
          </cell>
        </row>
        <row r="26">
          <cell r="B26">
            <v>2</v>
          </cell>
          <cell r="D26" t="str">
            <v>Pasang Roda Pintu Dorong</v>
          </cell>
          <cell r="H26" t="str">
            <v>Ls</v>
          </cell>
          <cell r="I26">
            <v>2</v>
          </cell>
          <cell r="J26" t="str">
            <v>Bh</v>
          </cell>
          <cell r="K26">
            <v>30000</v>
          </cell>
          <cell r="L26">
            <v>60000</v>
          </cell>
        </row>
        <row r="27">
          <cell r="B27">
            <v>3</v>
          </cell>
          <cell r="D27" t="str">
            <v>Pasang Rell Pintu Dorong Lengkap</v>
          </cell>
          <cell r="H27" t="str">
            <v>Supl.BMPK.17C</v>
          </cell>
          <cell r="I27">
            <v>12</v>
          </cell>
          <cell r="J27" t="str">
            <v>M'</v>
          </cell>
          <cell r="K27">
            <v>77302.52</v>
          </cell>
          <cell r="L27">
            <v>927630.24</v>
          </cell>
        </row>
        <row r="28">
          <cell r="B28">
            <v>4</v>
          </cell>
          <cell r="D28" t="str">
            <v>Pasang Grendel Pintu Besi</v>
          </cell>
          <cell r="H28" t="str">
            <v>Ls</v>
          </cell>
          <cell r="I28">
            <v>1</v>
          </cell>
          <cell r="J28" t="str">
            <v>Set</v>
          </cell>
          <cell r="K28">
            <v>30000</v>
          </cell>
          <cell r="L28">
            <v>30000</v>
          </cell>
        </row>
        <row r="29">
          <cell r="D29" t="str">
            <v>SUB TOTAL  III</v>
          </cell>
          <cell r="L29">
            <v>3316230.2199999997</v>
          </cell>
        </row>
        <row r="30">
          <cell r="B30" t="str">
            <v>IV</v>
          </cell>
          <cell r="D30" t="str">
            <v>PEKERJAAN PEMBUANGAN SISA PEKERJAAN</v>
          </cell>
        </row>
        <row r="31">
          <cell r="B31">
            <v>1</v>
          </cell>
          <cell r="D31" t="str">
            <v>Pembuangan Sisa Pekerjaan</v>
          </cell>
          <cell r="H31" t="str">
            <v>Ls</v>
          </cell>
          <cell r="I31">
            <v>1</v>
          </cell>
          <cell r="J31" t="str">
            <v>Ls</v>
          </cell>
          <cell r="K31">
            <v>227500</v>
          </cell>
          <cell r="L31">
            <v>227500</v>
          </cell>
        </row>
        <row r="32">
          <cell r="D32" t="str">
            <v>SUB TOTAL  IV</v>
          </cell>
          <cell r="L32">
            <v>227500</v>
          </cell>
        </row>
        <row r="33">
          <cell r="D33" t="str">
            <v>JUMLAH</v>
          </cell>
          <cell r="L33">
            <v>79249590.530000001</v>
          </cell>
        </row>
        <row r="34">
          <cell r="D34" t="str">
            <v>PPN 10% x A</v>
          </cell>
          <cell r="L34">
            <v>7924959.0530000003</v>
          </cell>
        </row>
        <row r="35">
          <cell r="D35" t="str">
            <v>JUMLAH  (A+B)</v>
          </cell>
          <cell r="L35">
            <v>87174549.583000004</v>
          </cell>
        </row>
        <row r="36">
          <cell r="D36" t="str">
            <v>JUMLAH DIBULATKAN</v>
          </cell>
          <cell r="L36">
            <v>87174000</v>
          </cell>
        </row>
        <row r="37">
          <cell r="N37" t="str">
            <v>REKAPITULASI RENCANA ANGGARAN BIAYA</v>
          </cell>
        </row>
        <row r="38">
          <cell r="N38" t="str">
            <v>OWNER'S ESTIMATE</v>
          </cell>
        </row>
        <row r="40">
          <cell r="N40" t="str">
            <v>Kegiatan</v>
          </cell>
          <cell r="O40" t="str">
            <v>:</v>
          </cell>
          <cell r="P40" t="str">
            <v>Pembangunan / Pemagaran Gedung Kantor, Gedung Sekolah</v>
          </cell>
        </row>
        <row r="41">
          <cell r="N41" t="str">
            <v>Pekerjaan</v>
          </cell>
          <cell r="O41" t="str">
            <v>:</v>
          </cell>
          <cell r="P41" t="str">
            <v>Pemagaran SMP Negeri 31 Bandar Lampung</v>
          </cell>
        </row>
        <row r="42">
          <cell r="N42" t="str">
            <v>Lokasi</v>
          </cell>
          <cell r="O42" t="str">
            <v>:</v>
          </cell>
          <cell r="P42" t="str">
            <v>Kota Bandar Lampung</v>
          </cell>
        </row>
        <row r="43">
          <cell r="N43" t="str">
            <v>Tahun Anggaran</v>
          </cell>
          <cell r="O43" t="str">
            <v>:</v>
          </cell>
          <cell r="P43" t="str">
            <v>2006</v>
          </cell>
        </row>
        <row r="45">
          <cell r="N45" t="str">
            <v>NO.</v>
          </cell>
          <cell r="O45" t="str">
            <v>URAIAN  PEKERJAAN</v>
          </cell>
          <cell r="U45" t="str">
            <v>TOTAL</v>
          </cell>
        </row>
        <row r="46">
          <cell r="U46" t="str">
            <v>HARGA</v>
          </cell>
        </row>
        <row r="47">
          <cell r="U47" t="str">
            <v>(Rp)</v>
          </cell>
        </row>
        <row r="48">
          <cell r="N48" t="str">
            <v>I</v>
          </cell>
          <cell r="P48" t="str">
            <v>PEKERJAAN PERSIAPAN</v>
          </cell>
          <cell r="U48">
            <v>5738918.2999999998</v>
          </cell>
        </row>
        <row r="49">
          <cell r="N49" t="str">
            <v>II</v>
          </cell>
          <cell r="P49" t="str">
            <v>PEKERJAAN PASANGAN PAGAR BETON PRECAST</v>
          </cell>
          <cell r="U49">
            <v>69966942.010000005</v>
          </cell>
        </row>
        <row r="50">
          <cell r="N50" t="str">
            <v>III</v>
          </cell>
          <cell r="P50" t="str">
            <v>PEKERJAAN PAGAR/ PINTU  BESI</v>
          </cell>
          <cell r="U50">
            <v>3316230.2199999997</v>
          </cell>
        </row>
        <row r="51">
          <cell r="N51" t="str">
            <v>IV</v>
          </cell>
          <cell r="P51" t="str">
            <v>PEKERJAAN PEMBUANGAN SISA PEKERJAAN</v>
          </cell>
          <cell r="U51">
            <v>227500</v>
          </cell>
        </row>
        <row r="52">
          <cell r="P52" t="str">
            <v>JUMLAH ( I  s/d.  IV)</v>
          </cell>
          <cell r="U52">
            <v>79249590.530000001</v>
          </cell>
        </row>
        <row r="53">
          <cell r="P53" t="str">
            <v>PPN 10%</v>
          </cell>
          <cell r="U53">
            <v>7924959.0530000003</v>
          </cell>
        </row>
        <row r="54">
          <cell r="P54" t="str">
            <v>TOTAL</v>
          </cell>
          <cell r="U54">
            <v>87174549.583000004</v>
          </cell>
        </row>
        <row r="55">
          <cell r="P55" t="str">
            <v>DIBULATKAN</v>
          </cell>
          <cell r="U55">
            <v>87174000</v>
          </cell>
        </row>
        <row r="57">
          <cell r="N57" t="str">
            <v>Terbilang</v>
          </cell>
          <cell r="O57" t="str">
            <v>:</v>
          </cell>
          <cell r="P57" t="str">
            <v>Delapan Puluh Tujuh Juta Seratus Tujuh Puluh Empat Ribu Rupiah</v>
          </cell>
        </row>
        <row r="60">
          <cell r="R60" t="str">
            <v>Bandar Lampung, .................2006</v>
          </cell>
        </row>
        <row r="61">
          <cell r="N61" t="str">
            <v>Disetujui</v>
          </cell>
        </row>
        <row r="62">
          <cell r="N62" t="str">
            <v>Pejabat Pembuat Komitmen/Pimpinan Kegiatan</v>
          </cell>
          <cell r="R62" t="str">
            <v>PANITIA PELELANGAN</v>
          </cell>
        </row>
        <row r="68">
          <cell r="N68" t="str">
            <v>A  Z  W  A  R,ST</v>
          </cell>
          <cell r="R68" t="str">
            <v>FAISOL MUCHTAR,ST</v>
          </cell>
        </row>
        <row r="69">
          <cell r="N69" t="str">
            <v>NIP.460020553</v>
          </cell>
          <cell r="R69" t="str">
            <v>NIP. 460021411</v>
          </cell>
        </row>
      </sheetData>
      <sheetData sheetId="12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SMP Negeri 4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Pembongkaran Pagar Lama / Pas. Bata</v>
          </cell>
          <cell r="H13" t="str">
            <v>L.3</v>
          </cell>
          <cell r="I13">
            <v>10.795</v>
          </cell>
          <cell r="J13" t="str">
            <v>m3</v>
          </cell>
          <cell r="K13">
            <v>116400</v>
          </cell>
          <cell r="L13">
            <v>1256538</v>
          </cell>
        </row>
        <row r="14">
          <cell r="B14">
            <v>2</v>
          </cell>
          <cell r="D14" t="str">
            <v>Penebangan Pohon Beringin dan Pembuangan Tunggul</v>
          </cell>
          <cell r="H14" t="str">
            <v>Ls</v>
          </cell>
          <cell r="I14">
            <v>5</v>
          </cell>
          <cell r="J14" t="str">
            <v>Bh</v>
          </cell>
          <cell r="K14">
            <v>125000</v>
          </cell>
          <cell r="L14">
            <v>625000</v>
          </cell>
        </row>
        <row r="15">
          <cell r="B15">
            <v>2</v>
          </cell>
          <cell r="D15" t="str">
            <v>Pembersihan Lokasi</v>
          </cell>
          <cell r="H15" t="str">
            <v>SNI-T-01-1991.1.5</v>
          </cell>
          <cell r="I15">
            <v>76.12</v>
          </cell>
          <cell r="J15" t="str">
            <v>M2</v>
          </cell>
          <cell r="K15">
            <v>3560</v>
          </cell>
          <cell r="L15">
            <v>270987.2</v>
          </cell>
        </row>
        <row r="16">
          <cell r="B16">
            <v>3</v>
          </cell>
          <cell r="D16" t="str">
            <v>Pasangan Bouwplank</v>
          </cell>
          <cell r="H16" t="str">
            <v>SNI-T-01-1991.1.6</v>
          </cell>
          <cell r="I16">
            <v>34.6</v>
          </cell>
          <cell r="J16" t="str">
            <v>M1</v>
          </cell>
          <cell r="K16">
            <v>26077.06</v>
          </cell>
          <cell r="L16">
            <v>902266.28</v>
          </cell>
        </row>
        <row r="17">
          <cell r="B17">
            <v>4</v>
          </cell>
          <cell r="D17" t="str">
            <v>Direksi Keet (Sewa)</v>
          </cell>
          <cell r="H17" t="str">
            <v>ls</v>
          </cell>
          <cell r="I17">
            <v>1</v>
          </cell>
          <cell r="J17" t="str">
            <v>Unit</v>
          </cell>
          <cell r="K17">
            <v>800000</v>
          </cell>
          <cell r="L17">
            <v>800000</v>
          </cell>
        </row>
        <row r="18">
          <cell r="B18">
            <v>5</v>
          </cell>
          <cell r="D18" t="str">
            <v>P3K</v>
          </cell>
          <cell r="H18" t="str">
            <v>ls</v>
          </cell>
          <cell r="I18">
            <v>1</v>
          </cell>
          <cell r="J18" t="str">
            <v>Unit</v>
          </cell>
          <cell r="K18">
            <v>100000</v>
          </cell>
          <cell r="L18">
            <v>100000</v>
          </cell>
        </row>
        <row r="19">
          <cell r="B19">
            <v>6</v>
          </cell>
          <cell r="D19" t="str">
            <v>Dokumentasi 0%, 25%, 50% dan 100%</v>
          </cell>
          <cell r="H19" t="str">
            <v>ls</v>
          </cell>
          <cell r="I19">
            <v>1</v>
          </cell>
          <cell r="J19" t="str">
            <v>Unit</v>
          </cell>
          <cell r="K19">
            <v>250000</v>
          </cell>
          <cell r="L19">
            <v>250000</v>
          </cell>
        </row>
        <row r="20">
          <cell r="B20">
            <v>7</v>
          </cell>
          <cell r="D20" t="str">
            <v>Papan Nama Proyek</v>
          </cell>
          <cell r="H20" t="str">
            <v>ls</v>
          </cell>
          <cell r="I20">
            <v>1</v>
          </cell>
          <cell r="J20" t="str">
            <v>Unit</v>
          </cell>
          <cell r="K20">
            <v>250000</v>
          </cell>
          <cell r="L20">
            <v>250000</v>
          </cell>
        </row>
        <row r="21">
          <cell r="D21" t="str">
            <v>SUB TOTAL  I</v>
          </cell>
          <cell r="L21">
            <v>4454791.4800000004</v>
          </cell>
        </row>
        <row r="22">
          <cell r="B22" t="str">
            <v>II</v>
          </cell>
          <cell r="D22" t="str">
            <v>PEKERJAAN GALIAN DAN TANAH</v>
          </cell>
        </row>
        <row r="23">
          <cell r="B23">
            <v>1</v>
          </cell>
          <cell r="D23" t="str">
            <v>Pek. Galian tanah lubang pondasi</v>
          </cell>
          <cell r="H23" t="str">
            <v>A.1</v>
          </cell>
          <cell r="I23">
            <v>38.753</v>
          </cell>
          <cell r="J23" t="str">
            <v>M3</v>
          </cell>
          <cell r="K23">
            <v>19775</v>
          </cell>
          <cell r="L23">
            <v>766340.58</v>
          </cell>
        </row>
        <row r="24">
          <cell r="B24">
            <v>2</v>
          </cell>
          <cell r="D24" t="str">
            <v>Pek. Urugan tanah sisi pondasi</v>
          </cell>
          <cell r="H24" t="str">
            <v>A.16</v>
          </cell>
          <cell r="I24">
            <v>9.6880000000000006</v>
          </cell>
          <cell r="J24" t="str">
            <v>M3</v>
          </cell>
          <cell r="K24">
            <v>6660</v>
          </cell>
          <cell r="L24">
            <v>64522.080000000002</v>
          </cell>
        </row>
        <row r="25">
          <cell r="B25">
            <v>3</v>
          </cell>
          <cell r="D25" t="str">
            <v>Pek. Urugan pasir di bawah pondasi t= 5 Cm</v>
          </cell>
          <cell r="H25" t="str">
            <v>A.18</v>
          </cell>
          <cell r="I25">
            <v>0.93799999999999994</v>
          </cell>
          <cell r="J25" t="str">
            <v>M3</v>
          </cell>
          <cell r="K25">
            <v>146691.20000000001</v>
          </cell>
          <cell r="L25">
            <v>137596.35</v>
          </cell>
        </row>
        <row r="26">
          <cell r="D26" t="str">
            <v>SUB TOTAL  II</v>
          </cell>
          <cell r="L26">
            <v>968459.00999999989</v>
          </cell>
        </row>
        <row r="27">
          <cell r="B27" t="str">
            <v>III</v>
          </cell>
          <cell r="D27" t="str">
            <v>PEKERJAAN PASANGAN DAN BETON</v>
          </cell>
        </row>
        <row r="28">
          <cell r="B28">
            <v>1</v>
          </cell>
          <cell r="D28" t="str">
            <v>Pas. Pondasi Batu Belah hitam adk. 1 : 4</v>
          </cell>
          <cell r="H28" t="str">
            <v>G.32h+G.26(a)</v>
          </cell>
          <cell r="I28">
            <v>24.375</v>
          </cell>
          <cell r="J28" t="str">
            <v>M3</v>
          </cell>
          <cell r="K28">
            <v>527127.02</v>
          </cell>
          <cell r="L28">
            <v>12848721.109999999</v>
          </cell>
        </row>
        <row r="29">
          <cell r="B29">
            <v>2</v>
          </cell>
          <cell r="D29" t="str">
            <v>Pas. Talud Batu Belah hitam adk. 1 : 4</v>
          </cell>
          <cell r="H29" t="str">
            <v>G.32h+G.26(a)</v>
          </cell>
          <cell r="I29">
            <v>1.46</v>
          </cell>
          <cell r="J29" t="str">
            <v>M3</v>
          </cell>
          <cell r="K29">
            <v>527127.02</v>
          </cell>
          <cell r="L29">
            <v>769605.45</v>
          </cell>
        </row>
        <row r="30">
          <cell r="B30">
            <v>3</v>
          </cell>
          <cell r="D30" t="str">
            <v>Pas. Sloof 15/20</v>
          </cell>
          <cell r="H30" t="str">
            <v>G.41+3/4 I.2(a)+1/2 F.8</v>
          </cell>
          <cell r="I30">
            <v>2.0760000000000001</v>
          </cell>
          <cell r="J30" t="str">
            <v>M3</v>
          </cell>
          <cell r="K30">
            <v>2649475.14</v>
          </cell>
          <cell r="L30">
            <v>5500310.3899999997</v>
          </cell>
        </row>
        <row r="31">
          <cell r="B31">
            <v>4</v>
          </cell>
          <cell r="D31" t="str">
            <v>Ring Balk 15/20</v>
          </cell>
          <cell r="H31" t="str">
            <v>G.41+3/4 I.2(a)+1/2 F.8</v>
          </cell>
          <cell r="I31">
            <v>2.0760000000000001</v>
          </cell>
          <cell r="J31" t="str">
            <v>M3</v>
          </cell>
          <cell r="K31">
            <v>2649475.14</v>
          </cell>
          <cell r="L31">
            <v>5500310.3899999997</v>
          </cell>
        </row>
        <row r="32">
          <cell r="B32">
            <v>5</v>
          </cell>
          <cell r="D32" t="str">
            <v>Pas. Kolom 25/25</v>
          </cell>
          <cell r="H32" t="str">
            <v>G.41+3/4 I.2(a)+1/2 F.8</v>
          </cell>
          <cell r="I32">
            <v>2.875</v>
          </cell>
          <cell r="J32" t="str">
            <v>M3</v>
          </cell>
          <cell r="K32">
            <v>2649475.14</v>
          </cell>
          <cell r="L32">
            <v>7617241.0300000003</v>
          </cell>
        </row>
        <row r="33">
          <cell r="B33">
            <v>6</v>
          </cell>
          <cell r="D33" t="str">
            <v>Pas. Dinding Bata adk 1:4</v>
          </cell>
          <cell r="H33" t="str">
            <v>G.33h+G.32a</v>
          </cell>
          <cell r="I33">
            <v>7.827</v>
          </cell>
          <cell r="J33" t="str">
            <v>M3</v>
          </cell>
          <cell r="K33">
            <v>383258.81</v>
          </cell>
          <cell r="L33">
            <v>2999766.71</v>
          </cell>
        </row>
        <row r="34">
          <cell r="B34">
            <v>7</v>
          </cell>
          <cell r="D34" t="str">
            <v>Plesteran Dinding adk 1: 4</v>
          </cell>
          <cell r="H34" t="str">
            <v>G.50q+G.48</v>
          </cell>
          <cell r="I34">
            <v>156.54499999999999</v>
          </cell>
          <cell r="J34" t="str">
            <v>M2</v>
          </cell>
          <cell r="K34">
            <v>19133.61</v>
          </cell>
          <cell r="L34">
            <v>2995270.98</v>
          </cell>
        </row>
        <row r="35">
          <cell r="B35">
            <v>8</v>
          </cell>
          <cell r="D35" t="str">
            <v>Pasang Kolom Profil Bulat L=2.5 m</v>
          </cell>
          <cell r="H35" t="str">
            <v>Ls</v>
          </cell>
          <cell r="I35">
            <v>2</v>
          </cell>
          <cell r="J35" t="str">
            <v>Bh</v>
          </cell>
          <cell r="K35">
            <v>30000</v>
          </cell>
          <cell r="L35">
            <v>60000</v>
          </cell>
        </row>
        <row r="36">
          <cell r="D36" t="str">
            <v>SUB TOTAL  III</v>
          </cell>
          <cell r="L36">
            <v>38291226.059999995</v>
          </cell>
        </row>
        <row r="37">
          <cell r="B37" t="str">
            <v>IV</v>
          </cell>
          <cell r="D37" t="str">
            <v>PEKERJAAN PAGAR/ PINTU  BESI</v>
          </cell>
        </row>
        <row r="38">
          <cell r="B38">
            <v>1</v>
          </cell>
          <cell r="D38" t="str">
            <v>Pintu Besi Dorong</v>
          </cell>
          <cell r="H38" t="str">
            <v>Supl.BMPK.17</v>
          </cell>
          <cell r="I38">
            <v>9.9</v>
          </cell>
          <cell r="J38" t="str">
            <v>M2</v>
          </cell>
          <cell r="K38">
            <v>340533.33</v>
          </cell>
          <cell r="L38">
            <v>3371279.97</v>
          </cell>
        </row>
        <row r="39">
          <cell r="B39">
            <v>2</v>
          </cell>
          <cell r="D39" t="str">
            <v>Pasang Roda Pintu Dorong</v>
          </cell>
          <cell r="H39" t="str">
            <v>Ls</v>
          </cell>
          <cell r="I39">
            <v>6</v>
          </cell>
          <cell r="J39" t="str">
            <v>Bh</v>
          </cell>
          <cell r="K39">
            <v>30000</v>
          </cell>
          <cell r="L39">
            <v>180000</v>
          </cell>
        </row>
        <row r="40">
          <cell r="B40">
            <v>3</v>
          </cell>
          <cell r="D40" t="str">
            <v>Pasang Rell Pintu Dorong Lengkap</v>
          </cell>
          <cell r="H40" t="str">
            <v>Supl.BMPK.17C</v>
          </cell>
          <cell r="I40">
            <v>20</v>
          </cell>
          <cell r="J40" t="str">
            <v>M'</v>
          </cell>
          <cell r="K40">
            <v>77302.52</v>
          </cell>
          <cell r="L40">
            <v>1546050.4</v>
          </cell>
        </row>
        <row r="41">
          <cell r="B41">
            <v>4</v>
          </cell>
          <cell r="D41" t="str">
            <v>Pasang Grendel Pintu Besi</v>
          </cell>
          <cell r="H41" t="str">
            <v>Ls</v>
          </cell>
          <cell r="I41">
            <v>1</v>
          </cell>
          <cell r="J41" t="str">
            <v>Set</v>
          </cell>
          <cell r="K41">
            <v>30000</v>
          </cell>
          <cell r="L41">
            <v>30000</v>
          </cell>
        </row>
        <row r="42">
          <cell r="D42" t="str">
            <v>SUB TOTAL  IV</v>
          </cell>
          <cell r="L42">
            <v>5127330.37</v>
          </cell>
        </row>
        <row r="43">
          <cell r="B43" t="str">
            <v>V</v>
          </cell>
          <cell r="D43" t="str">
            <v>PEKERJAAN PEMBUANGAN SISA PEKERJAAN</v>
          </cell>
        </row>
        <row r="44">
          <cell r="B44">
            <v>1</v>
          </cell>
          <cell r="D44" t="str">
            <v>Pembuangan Sisa Pekerjaan</v>
          </cell>
          <cell r="H44" t="str">
            <v>Ls</v>
          </cell>
          <cell r="I44">
            <v>1</v>
          </cell>
          <cell r="J44" t="str">
            <v>Ls</v>
          </cell>
          <cell r="K44">
            <v>200000</v>
          </cell>
          <cell r="L44">
            <v>200000</v>
          </cell>
        </row>
        <row r="45">
          <cell r="D45" t="str">
            <v>SUB TOTAL  V</v>
          </cell>
          <cell r="L45">
            <v>200000</v>
          </cell>
        </row>
        <row r="46">
          <cell r="D46" t="str">
            <v>JUMLAH</v>
          </cell>
          <cell r="L46">
            <v>49041806.920000002</v>
          </cell>
        </row>
        <row r="47">
          <cell r="D47" t="str">
            <v>PPN 10% X A</v>
          </cell>
          <cell r="L47">
            <v>4904180.6920000007</v>
          </cell>
        </row>
        <row r="48">
          <cell r="D48" t="str">
            <v>JUMLAH  (A+B)</v>
          </cell>
          <cell r="L48">
            <v>53945987.612000003</v>
          </cell>
        </row>
        <row r="49">
          <cell r="D49" t="str">
            <v>JUMLAH DIBULATKAN</v>
          </cell>
          <cell r="L49">
            <v>53945000</v>
          </cell>
        </row>
        <row r="50">
          <cell r="N50" t="str">
            <v>REKAPITULASI RENCANA ANGGARAN BIAYA</v>
          </cell>
        </row>
        <row r="51">
          <cell r="N51" t="str">
            <v>OWNER'S ESTIMATE</v>
          </cell>
        </row>
        <row r="53">
          <cell r="N53" t="str">
            <v>Kegiatan</v>
          </cell>
          <cell r="O53" t="str">
            <v>:</v>
          </cell>
          <cell r="P53" t="str">
            <v>Pembangunan / Pemagaran Gedung Kantor, Gedung Sekolah</v>
          </cell>
        </row>
        <row r="54">
          <cell r="N54" t="str">
            <v>Pekerjaan</v>
          </cell>
          <cell r="O54" t="str">
            <v>:</v>
          </cell>
          <cell r="P54" t="str">
            <v>Pemagaran SMP Negeri 4 Bandar Lampung</v>
          </cell>
        </row>
        <row r="55">
          <cell r="N55" t="str">
            <v>Lokasi</v>
          </cell>
          <cell r="O55" t="str">
            <v>:</v>
          </cell>
          <cell r="P55" t="str">
            <v>Kota Bandar Lampung</v>
          </cell>
        </row>
        <row r="56">
          <cell r="N56" t="str">
            <v>Tahun Anggaran</v>
          </cell>
          <cell r="O56" t="str">
            <v>:</v>
          </cell>
          <cell r="P56" t="str">
            <v>2006</v>
          </cell>
        </row>
        <row r="58">
          <cell r="N58" t="str">
            <v>NO.</v>
          </cell>
          <cell r="O58" t="str">
            <v>URAIAN  PEKERJAAN</v>
          </cell>
          <cell r="U58" t="str">
            <v>TOTAL</v>
          </cell>
        </row>
        <row r="59">
          <cell r="U59" t="str">
            <v>HARGA</v>
          </cell>
        </row>
        <row r="60">
          <cell r="U60" t="str">
            <v>(Rp)</v>
          </cell>
        </row>
        <row r="61">
          <cell r="N61" t="str">
            <v>I</v>
          </cell>
          <cell r="P61" t="str">
            <v>PEKERJAAN PERSIAPAN</v>
          </cell>
          <cell r="U61">
            <v>4454791.4800000004</v>
          </cell>
        </row>
        <row r="62">
          <cell r="N62" t="str">
            <v>II</v>
          </cell>
          <cell r="P62" t="str">
            <v>PEKERJAAN GALIAN DAN TANAH</v>
          </cell>
          <cell r="U62">
            <v>968459.00999999989</v>
          </cell>
        </row>
        <row r="63">
          <cell r="N63" t="str">
            <v>III</v>
          </cell>
          <cell r="P63" t="str">
            <v>PEKERJAAN PASANGAN DAN BETON</v>
          </cell>
          <cell r="U63">
            <v>38291226.059999995</v>
          </cell>
        </row>
        <row r="64">
          <cell r="N64" t="str">
            <v>IV</v>
          </cell>
          <cell r="P64" t="str">
            <v>PEKERJAAN PAGAR/ PINTU  BESI</v>
          </cell>
          <cell r="U64">
            <v>5127330.37</v>
          </cell>
        </row>
        <row r="65">
          <cell r="N65" t="str">
            <v>V</v>
          </cell>
          <cell r="P65" t="str">
            <v>PEKERJAAN PEMBUANGAN SISA PEKERJAAN</v>
          </cell>
          <cell r="U65">
            <v>200000</v>
          </cell>
        </row>
        <row r="66">
          <cell r="P66" t="str">
            <v>JUMLAH ( I  s/d.  V)</v>
          </cell>
          <cell r="U66">
            <v>49041806.919999994</v>
          </cell>
        </row>
        <row r="67">
          <cell r="P67" t="str">
            <v>PPN 10%</v>
          </cell>
          <cell r="U67">
            <v>4904180.6919999998</v>
          </cell>
        </row>
        <row r="68">
          <cell r="P68" t="str">
            <v>TOTAL</v>
          </cell>
          <cell r="U68">
            <v>53945987.611999996</v>
          </cell>
        </row>
        <row r="69">
          <cell r="P69" t="str">
            <v>DIBULATKAN</v>
          </cell>
          <cell r="U69">
            <v>53945000</v>
          </cell>
        </row>
        <row r="71">
          <cell r="N71" t="str">
            <v>Terbilang</v>
          </cell>
          <cell r="O71" t="str">
            <v>:</v>
          </cell>
          <cell r="P71" t="str">
            <v>Lima Puluh Tiga Juta Sembilan Ratus Empat Puluh Lima Ribu Rupiah</v>
          </cell>
        </row>
        <row r="74">
          <cell r="R74" t="str">
            <v>Bandar Lampung, .................2006</v>
          </cell>
        </row>
        <row r="75">
          <cell r="N75" t="str">
            <v>Disetujui</v>
          </cell>
        </row>
        <row r="76">
          <cell r="N76" t="str">
            <v>Pejabat Pembuat Komitmen/Pimpinan Kegiatan</v>
          </cell>
          <cell r="R76" t="str">
            <v>PANITIA PELELANGAN</v>
          </cell>
        </row>
        <row r="82">
          <cell r="N82" t="str">
            <v>A  Z  W  A  R,ST</v>
          </cell>
          <cell r="R82" t="str">
            <v>FAISOL MUCHTAR,ST</v>
          </cell>
        </row>
        <row r="83">
          <cell r="N83" t="str">
            <v>NIP.460020553</v>
          </cell>
          <cell r="R83" t="str">
            <v>NIP. 460021411</v>
          </cell>
        </row>
      </sheetData>
      <sheetData sheetId="13"/>
      <sheetData sheetId="14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SMA Negeri 14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202.416</v>
          </cell>
          <cell r="J13" t="str">
            <v>M2</v>
          </cell>
          <cell r="K13">
            <v>3560</v>
          </cell>
          <cell r="L13">
            <v>720600.96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50</v>
          </cell>
          <cell r="J14" t="str">
            <v>M1</v>
          </cell>
          <cell r="K14">
            <v>26077.06</v>
          </cell>
          <cell r="L14">
            <v>1303853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2024453.96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50.603999999999999</v>
          </cell>
          <cell r="J21" t="str">
            <v>M3</v>
          </cell>
          <cell r="K21">
            <v>19775</v>
          </cell>
          <cell r="L21">
            <v>1000694.1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12.651</v>
          </cell>
          <cell r="J22" t="str">
            <v>M3</v>
          </cell>
          <cell r="K22">
            <v>6660</v>
          </cell>
          <cell r="L22">
            <v>84255.66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4.2169999999999996</v>
          </cell>
          <cell r="J23" t="str">
            <v>M3</v>
          </cell>
          <cell r="K23">
            <v>146691.20000000001</v>
          </cell>
          <cell r="L23">
            <v>618596.79</v>
          </cell>
        </row>
        <row r="24">
          <cell r="D24" t="str">
            <v>SUB TOTAL  II</v>
          </cell>
          <cell r="L24">
            <v>1703546.55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42.17</v>
          </cell>
          <cell r="J26" t="str">
            <v>M3</v>
          </cell>
          <cell r="K26">
            <v>527127.02</v>
          </cell>
          <cell r="L26">
            <v>22228946.43</v>
          </cell>
        </row>
        <row r="27">
          <cell r="B27">
            <v>2</v>
          </cell>
          <cell r="D27" t="str">
            <v>Pas. Sloof 12/25</v>
          </cell>
          <cell r="H27" t="str">
            <v>G.41+3/4 I.2(a)+1/2 F.8</v>
          </cell>
          <cell r="I27">
            <v>5.0599999999999996</v>
          </cell>
          <cell r="J27" t="str">
            <v>M3</v>
          </cell>
          <cell r="K27">
            <v>2649475.14</v>
          </cell>
          <cell r="L27">
            <v>13406344.210000001</v>
          </cell>
        </row>
        <row r="28">
          <cell r="B28">
            <v>3</v>
          </cell>
          <cell r="D28" t="str">
            <v>Pas. Kolom Praktis12/12 (tiap 3 M)</v>
          </cell>
          <cell r="H28" t="str">
            <v>G.41+3/4 I.2(a)+1/2 F.8</v>
          </cell>
          <cell r="I28">
            <v>1.145</v>
          </cell>
          <cell r="J28" t="str">
            <v>M3</v>
          </cell>
          <cell r="K28">
            <v>2649475.14</v>
          </cell>
          <cell r="L28">
            <v>3033649.04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0.56299999999999994</v>
          </cell>
          <cell r="J29" t="str">
            <v>M3</v>
          </cell>
          <cell r="K29">
            <v>2649475.14</v>
          </cell>
          <cell r="L29">
            <v>1491654.5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20.895</v>
          </cell>
          <cell r="J30" t="str">
            <v>M3</v>
          </cell>
          <cell r="K30">
            <v>383258.81</v>
          </cell>
          <cell r="L30">
            <v>8008192.8300000001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468.536</v>
          </cell>
          <cell r="J31" t="str">
            <v>M2</v>
          </cell>
          <cell r="K31">
            <v>19133.61</v>
          </cell>
          <cell r="L31">
            <v>8964785.0899999999</v>
          </cell>
        </row>
        <row r="32">
          <cell r="D32" t="str">
            <v>SUB TOTAL  III</v>
          </cell>
          <cell r="L32">
            <v>57133572.099999994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BRC Lengkap h=1.20</v>
          </cell>
          <cell r="H34" t="str">
            <v>Supl.BMPK.17A</v>
          </cell>
          <cell r="I34">
            <v>4.92</v>
          </cell>
          <cell r="J34" t="str">
            <v>M2</v>
          </cell>
          <cell r="K34">
            <v>249511.5</v>
          </cell>
          <cell r="L34">
            <v>1227596.58</v>
          </cell>
        </row>
        <row r="35">
          <cell r="D35" t="str">
            <v>SUB TOTAL  IV</v>
          </cell>
          <cell r="L35">
            <v>1227596.58</v>
          </cell>
        </row>
        <row r="36">
          <cell r="B36" t="str">
            <v>V</v>
          </cell>
          <cell r="D36" t="str">
            <v>PEKERJAAN PEMBUANGAN SISA PEKERJAAN</v>
          </cell>
        </row>
        <row r="37">
          <cell r="B37">
            <v>1</v>
          </cell>
          <cell r="D37" t="str">
            <v>Pembuangan Sisa Pekerjaan</v>
          </cell>
          <cell r="H37" t="str">
            <v>Ls</v>
          </cell>
          <cell r="I37">
            <v>1</v>
          </cell>
          <cell r="J37" t="str">
            <v>Ls</v>
          </cell>
          <cell r="L37">
            <v>0</v>
          </cell>
        </row>
        <row r="38">
          <cell r="D38" t="str">
            <v>SUB TOTAL  V</v>
          </cell>
          <cell r="L38">
            <v>0</v>
          </cell>
        </row>
        <row r="39">
          <cell r="D39" t="str">
            <v>JUMLAH</v>
          </cell>
          <cell r="L39">
            <v>62089169.18999999</v>
          </cell>
        </row>
        <row r="40">
          <cell r="D40" t="str">
            <v>PPN (10% X A)</v>
          </cell>
          <cell r="L40">
            <v>6208916.9189999998</v>
          </cell>
        </row>
        <row r="41">
          <cell r="D41" t="str">
            <v>JUMLAH  (A+B)</v>
          </cell>
          <cell r="L41">
            <v>68298086.108999997</v>
          </cell>
        </row>
        <row r="42">
          <cell r="D42" t="str">
            <v>JUMLAH DIBULATKAN</v>
          </cell>
          <cell r="L42">
            <v>68298000</v>
          </cell>
        </row>
        <row r="43">
          <cell r="N43" t="str">
            <v>REKAPITULASI RENCANA ANGGARAN BIAYA</v>
          </cell>
        </row>
        <row r="44">
          <cell r="N44" t="str">
            <v>OWNER'S ESTIMATE</v>
          </cell>
        </row>
        <row r="46">
          <cell r="N46" t="str">
            <v>Kegiatan</v>
          </cell>
          <cell r="O46" t="str">
            <v>:</v>
          </cell>
          <cell r="P46" t="str">
            <v>Pembangunan / Pemagaran Gedung Kantor, Gedung Sekolah</v>
          </cell>
        </row>
        <row r="47">
          <cell r="N47" t="str">
            <v>Pekerjaan</v>
          </cell>
          <cell r="O47" t="str">
            <v>:</v>
          </cell>
          <cell r="P47" t="str">
            <v>Pemagaran SMA Negeri 14 Bandar Lampung</v>
          </cell>
        </row>
        <row r="48">
          <cell r="N48" t="str">
            <v>Lokasi</v>
          </cell>
          <cell r="O48" t="str">
            <v>:</v>
          </cell>
          <cell r="P48" t="str">
            <v>Kota Bandar Lampung</v>
          </cell>
        </row>
        <row r="49">
          <cell r="N49" t="str">
            <v>Tahun Anggaran</v>
          </cell>
          <cell r="O49" t="str">
            <v>:</v>
          </cell>
          <cell r="P49" t="str">
            <v>2006</v>
          </cell>
        </row>
        <row r="51">
          <cell r="N51" t="str">
            <v>NO.</v>
          </cell>
          <cell r="O51" t="str">
            <v>URAIAN  PEKERJAAN</v>
          </cell>
          <cell r="U51" t="str">
            <v>TOTAL</v>
          </cell>
        </row>
        <row r="52">
          <cell r="U52" t="str">
            <v>HARGA</v>
          </cell>
        </row>
        <row r="53">
          <cell r="U53" t="str">
            <v>(Rp)</v>
          </cell>
        </row>
        <row r="54">
          <cell r="N54" t="str">
            <v>I</v>
          </cell>
          <cell r="P54" t="str">
            <v>PEKERJAAN PERSIAPAN</v>
          </cell>
          <cell r="U54">
            <v>2024453.96</v>
          </cell>
        </row>
        <row r="55">
          <cell r="N55" t="str">
            <v>II</v>
          </cell>
          <cell r="P55" t="str">
            <v>PEKERJAAN GALIAN DAN TANAH</v>
          </cell>
          <cell r="U55">
            <v>1703546.55</v>
          </cell>
        </row>
        <row r="56">
          <cell r="N56" t="str">
            <v>III</v>
          </cell>
          <cell r="P56" t="str">
            <v>PEKERJAAN PASANGAN DAN BETON</v>
          </cell>
          <cell r="U56">
            <v>57133572.099999994</v>
          </cell>
        </row>
        <row r="57">
          <cell r="N57" t="str">
            <v>IV</v>
          </cell>
          <cell r="P57" t="str">
            <v>PEKERJAAN PAGAR/ PINTU  BESI</v>
          </cell>
          <cell r="U57">
            <v>1227596.58</v>
          </cell>
        </row>
        <row r="58">
          <cell r="N58" t="str">
            <v>V</v>
          </cell>
          <cell r="P58" t="str">
            <v>PEKERJAAN PEMBUANGAN SISA PEKERJAAN</v>
          </cell>
          <cell r="U58">
            <v>0</v>
          </cell>
        </row>
        <row r="59">
          <cell r="P59" t="str">
            <v>JUMLAH ( I  s/d.  V)</v>
          </cell>
          <cell r="U59">
            <v>62089169.18999999</v>
          </cell>
        </row>
        <row r="60">
          <cell r="P60" t="str">
            <v>PPN 10%</v>
          </cell>
          <cell r="U60">
            <v>6208916.9189999998</v>
          </cell>
        </row>
        <row r="61">
          <cell r="P61" t="str">
            <v>TOTAL</v>
          </cell>
          <cell r="U61">
            <v>68298086.108999997</v>
          </cell>
        </row>
        <row r="62">
          <cell r="P62" t="str">
            <v>DIBULATKAN</v>
          </cell>
          <cell r="U62">
            <v>68298000</v>
          </cell>
        </row>
        <row r="64">
          <cell r="N64" t="str">
            <v>Terbilang</v>
          </cell>
          <cell r="O64" t="str">
            <v>:</v>
          </cell>
          <cell r="P64" t="str">
            <v>Enam Puluh Delapan Juta Dua Ratus Sembilan Puluh Delapan Ribu Rupiah</v>
          </cell>
        </row>
        <row r="67">
          <cell r="R67" t="str">
            <v>Bandar Lampung, .................2006</v>
          </cell>
        </row>
        <row r="68">
          <cell r="N68" t="str">
            <v>Disetujui</v>
          </cell>
        </row>
        <row r="69">
          <cell r="N69" t="str">
            <v>Pejabat Pembuat Komitmen/Pimpinan Kegiatan</v>
          </cell>
          <cell r="R69" t="str">
            <v>PANITIA PELELANGAN</v>
          </cell>
        </row>
        <row r="75">
          <cell r="N75" t="str">
            <v>A  Z  W  A  R,ST</v>
          </cell>
          <cell r="R75" t="str">
            <v>FAISOL MUCHTAR,ST</v>
          </cell>
        </row>
        <row r="76">
          <cell r="N76" t="str">
            <v>NIP.460020553</v>
          </cell>
          <cell r="R76" t="str">
            <v>NIP. 460021411</v>
          </cell>
        </row>
      </sheetData>
      <sheetData sheetId="15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Kejaksaan Negeri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84</v>
          </cell>
          <cell r="J13" t="str">
            <v>M2</v>
          </cell>
          <cell r="K13">
            <v>3560</v>
          </cell>
          <cell r="L13">
            <v>299040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70</v>
          </cell>
          <cell r="J14" t="str">
            <v>M1</v>
          </cell>
          <cell r="K14">
            <v>26077.06</v>
          </cell>
          <cell r="L14">
            <v>1825394.2</v>
          </cell>
        </row>
        <row r="15">
          <cell r="B15">
            <v>3</v>
          </cell>
          <cell r="D15" t="str">
            <v>Pengangkutan Material ke lokasi pekerjaan</v>
          </cell>
          <cell r="H15" t="str">
            <v>ls</v>
          </cell>
          <cell r="I15">
            <v>1</v>
          </cell>
          <cell r="J15" t="str">
            <v>Ls</v>
          </cell>
          <cell r="K15">
            <v>1500000</v>
          </cell>
          <cell r="L15">
            <v>1500000</v>
          </cell>
        </row>
        <row r="16">
          <cell r="B16">
            <v>4</v>
          </cell>
          <cell r="D16" t="str">
            <v>Direksi Keet (Sewa)</v>
          </cell>
          <cell r="H16" t="str">
            <v>ls</v>
          </cell>
          <cell r="I16">
            <v>1</v>
          </cell>
          <cell r="J16" t="str">
            <v>Unit</v>
          </cell>
          <cell r="K16">
            <v>800000</v>
          </cell>
          <cell r="L16">
            <v>800000</v>
          </cell>
        </row>
        <row r="17">
          <cell r="B17">
            <v>5</v>
          </cell>
          <cell r="D17" t="str">
            <v>P3K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Dokumentasi 0%, 25%, 50% dan 100%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B19">
            <v>7</v>
          </cell>
          <cell r="D19" t="str">
            <v>Papan Nama Proyek</v>
          </cell>
          <cell r="H19" t="str">
            <v>ls</v>
          </cell>
          <cell r="I19">
            <v>1</v>
          </cell>
          <cell r="J19" t="str">
            <v>Unit</v>
          </cell>
          <cell r="K19">
            <v>250000</v>
          </cell>
          <cell r="L19">
            <v>250000</v>
          </cell>
        </row>
        <row r="20">
          <cell r="B20">
            <v>8</v>
          </cell>
          <cell r="D20" t="str">
            <v>Alat Bantu / stegerwerk dll</v>
          </cell>
          <cell r="H20" t="str">
            <v>ls</v>
          </cell>
          <cell r="I20">
            <v>1</v>
          </cell>
          <cell r="J20" t="str">
            <v>Unit</v>
          </cell>
          <cell r="K20">
            <v>800000</v>
          </cell>
          <cell r="L20">
            <v>800000</v>
          </cell>
        </row>
        <row r="21">
          <cell r="D21" t="str">
            <v>SUB TOTAL  I</v>
          </cell>
          <cell r="L21">
            <v>5974434.2000000002</v>
          </cell>
        </row>
        <row r="22">
          <cell r="B22" t="str">
            <v>II</v>
          </cell>
          <cell r="D22" t="str">
            <v>REHAB PAGAR SAMPING KIRI BANGUNAN</v>
          </cell>
        </row>
        <row r="23">
          <cell r="B23">
            <v>1</v>
          </cell>
          <cell r="D23" t="str">
            <v>Pembongkaran Pasangan Bata</v>
          </cell>
          <cell r="H23" t="str">
            <v>L.3</v>
          </cell>
          <cell r="I23">
            <v>0.54</v>
          </cell>
          <cell r="J23" t="str">
            <v>M3</v>
          </cell>
          <cell r="K23">
            <v>116400</v>
          </cell>
          <cell r="L23">
            <v>62856</v>
          </cell>
        </row>
        <row r="24">
          <cell r="B24">
            <v>2</v>
          </cell>
          <cell r="D24" t="str">
            <v>Pembongkaran Fondasi</v>
          </cell>
          <cell r="H24" t="str">
            <v>L.3</v>
          </cell>
          <cell r="I24">
            <v>3.43</v>
          </cell>
          <cell r="J24" t="str">
            <v>M3</v>
          </cell>
          <cell r="K24">
            <v>116400</v>
          </cell>
          <cell r="L24">
            <v>399252</v>
          </cell>
        </row>
        <row r="25">
          <cell r="B25">
            <v>3</v>
          </cell>
          <cell r="D25" t="str">
            <v>Pembongkaran Plesteran</v>
          </cell>
          <cell r="H25" t="str">
            <v>L.5</v>
          </cell>
          <cell r="I25">
            <v>31.33</v>
          </cell>
          <cell r="J25" t="str">
            <v>M2</v>
          </cell>
          <cell r="K25">
            <v>5410</v>
          </cell>
          <cell r="L25">
            <v>169495.3</v>
          </cell>
        </row>
        <row r="26">
          <cell r="B26">
            <v>4</v>
          </cell>
          <cell r="D26" t="str">
            <v>Pek. Galian tanah lubang pondasi</v>
          </cell>
          <cell r="H26" t="str">
            <v>A.1</v>
          </cell>
          <cell r="I26">
            <v>1.7279999999999998</v>
          </cell>
          <cell r="J26" t="str">
            <v>M3</v>
          </cell>
          <cell r="K26">
            <v>19775</v>
          </cell>
          <cell r="L26">
            <v>34171.199999999997</v>
          </cell>
        </row>
        <row r="27">
          <cell r="B27">
            <v>5</v>
          </cell>
          <cell r="D27" t="str">
            <v>Pek. Urugan tanah sisi pondasi</v>
          </cell>
          <cell r="H27" t="str">
            <v>A.16</v>
          </cell>
          <cell r="I27">
            <v>0.43199999999999994</v>
          </cell>
          <cell r="J27" t="str">
            <v>M3</v>
          </cell>
          <cell r="K27">
            <v>6660</v>
          </cell>
          <cell r="L27">
            <v>2877.12</v>
          </cell>
        </row>
        <row r="28">
          <cell r="B28">
            <v>6</v>
          </cell>
          <cell r="D28" t="str">
            <v>Pek. Urugan pasir di bawah pondasi t=5 Cm</v>
          </cell>
          <cell r="H28" t="str">
            <v>A.18</v>
          </cell>
          <cell r="I28">
            <v>7.4999999999999997E-2</v>
          </cell>
          <cell r="J28" t="str">
            <v>M3</v>
          </cell>
          <cell r="K28">
            <v>146691.20000000001</v>
          </cell>
          <cell r="L28">
            <v>11001.84</v>
          </cell>
        </row>
        <row r="29">
          <cell r="B29">
            <v>7</v>
          </cell>
          <cell r="D29" t="str">
            <v>Pasangan Batu Belah Hitam Fondasi 1:4</v>
          </cell>
          <cell r="H29" t="str">
            <v>G.32h+G.26(a)</v>
          </cell>
          <cell r="I29">
            <v>6.15</v>
          </cell>
          <cell r="J29" t="str">
            <v>M3</v>
          </cell>
          <cell r="K29">
            <v>527127.02</v>
          </cell>
          <cell r="L29">
            <v>3241831.17</v>
          </cell>
        </row>
        <row r="30">
          <cell r="B30">
            <v>8</v>
          </cell>
          <cell r="D30" t="str">
            <v>Pasangan Bata 1:4</v>
          </cell>
          <cell r="H30" t="str">
            <v>G.33h+G.32a</v>
          </cell>
          <cell r="I30">
            <v>5.57</v>
          </cell>
          <cell r="J30" t="str">
            <v>M3</v>
          </cell>
          <cell r="K30">
            <v>383258.81</v>
          </cell>
          <cell r="L30">
            <v>2134751.5699999998</v>
          </cell>
        </row>
        <row r="31">
          <cell r="B31">
            <v>9</v>
          </cell>
          <cell r="D31" t="str">
            <v>Plesteran dinding tebal 15mm 1:4</v>
          </cell>
          <cell r="H31" t="str">
            <v>G.50q+G.48</v>
          </cell>
          <cell r="I31">
            <v>70.66</v>
          </cell>
          <cell r="J31" t="str">
            <v>M2</v>
          </cell>
          <cell r="K31">
            <v>19133.61</v>
          </cell>
          <cell r="L31">
            <v>1351980.88</v>
          </cell>
        </row>
        <row r="32">
          <cell r="B32">
            <v>10</v>
          </cell>
          <cell r="D32" t="str">
            <v>Cor Beton Ring Balk 12/15</v>
          </cell>
          <cell r="H32" t="str">
            <v>G.41+3/4 I.2(a)+1/2 F.8</v>
          </cell>
          <cell r="I32">
            <v>0.43</v>
          </cell>
          <cell r="J32" t="str">
            <v>M3</v>
          </cell>
          <cell r="K32">
            <v>2649475.14</v>
          </cell>
          <cell r="L32">
            <v>1139274.31</v>
          </cell>
        </row>
        <row r="33">
          <cell r="B33">
            <v>11</v>
          </cell>
          <cell r="D33" t="str">
            <v>Cor Beton Ring Balk 12/15</v>
          </cell>
          <cell r="H33" t="str">
            <v>G.41+3/4 I.2(a)+1/2 F.8</v>
          </cell>
          <cell r="I33">
            <v>0.41</v>
          </cell>
          <cell r="J33" t="str">
            <v>M3</v>
          </cell>
          <cell r="K33">
            <v>2649475.14</v>
          </cell>
          <cell r="L33">
            <v>1086284.81</v>
          </cell>
        </row>
        <row r="34">
          <cell r="B34">
            <v>12</v>
          </cell>
          <cell r="D34" t="str">
            <v>Cor Beton Bertulang Kolom + Foot plat</v>
          </cell>
          <cell r="H34" t="str">
            <v>G.41+3/4 I.2(a)+1/2 F.8</v>
          </cell>
          <cell r="I34">
            <v>1.37</v>
          </cell>
          <cell r="J34" t="str">
            <v>M3</v>
          </cell>
          <cell r="K34">
            <v>2649475.14</v>
          </cell>
          <cell r="L34">
            <v>3629780.94</v>
          </cell>
        </row>
        <row r="35">
          <cell r="B35">
            <v>13</v>
          </cell>
          <cell r="D35" t="str">
            <v>Cor Beton Bertulang Kolom praktis 12/12</v>
          </cell>
          <cell r="H35" t="str">
            <v>G.41+3/4 I.2(a)+1/2 F.8</v>
          </cell>
          <cell r="I35">
            <v>0.19</v>
          </cell>
          <cell r="J35" t="str">
            <v>M3</v>
          </cell>
          <cell r="K35">
            <v>2649475.14</v>
          </cell>
          <cell r="L35">
            <v>503400.28</v>
          </cell>
        </row>
        <row r="36">
          <cell r="B36">
            <v>14</v>
          </cell>
          <cell r="D36" t="str">
            <v>Bongkar / Pasang Besi Siku (Posisi Dibalik dari posisi semula</v>
          </cell>
          <cell r="H36" t="str">
            <v>Ls</v>
          </cell>
          <cell r="I36">
            <v>10</v>
          </cell>
          <cell r="J36" t="str">
            <v>Set</v>
          </cell>
          <cell r="K36">
            <v>50000</v>
          </cell>
          <cell r="L36">
            <v>500000</v>
          </cell>
        </row>
        <row r="37">
          <cell r="B37">
            <v>15</v>
          </cell>
          <cell r="D37" t="str">
            <v>Pasang Kawat berduri 6 Baris</v>
          </cell>
          <cell r="H37" t="str">
            <v>Supl.BMPK.17d</v>
          </cell>
          <cell r="I37">
            <v>116.7</v>
          </cell>
          <cell r="J37" t="str">
            <v>M'</v>
          </cell>
          <cell r="K37">
            <v>4716</v>
          </cell>
          <cell r="L37">
            <v>550357.19999999995</v>
          </cell>
        </row>
        <row r="38">
          <cell r="B38">
            <v>16</v>
          </cell>
          <cell r="D38" t="str">
            <v>Pengecatan</v>
          </cell>
          <cell r="H38" t="str">
            <v>G.53.1</v>
          </cell>
          <cell r="I38">
            <v>78.993333333333325</v>
          </cell>
          <cell r="J38" t="str">
            <v>M2</v>
          </cell>
          <cell r="K38">
            <v>7561</v>
          </cell>
          <cell r="L38">
            <v>597268.59</v>
          </cell>
        </row>
        <row r="39">
          <cell r="D39" t="str">
            <v>SUB TOTAL  II</v>
          </cell>
          <cell r="L39">
            <v>15414583.209999997</v>
          </cell>
        </row>
        <row r="40">
          <cell r="B40" t="str">
            <v>III</v>
          </cell>
          <cell r="D40" t="str">
            <v>REHAB PAGAR BELAKANG</v>
          </cell>
        </row>
        <row r="41">
          <cell r="B41">
            <v>1</v>
          </cell>
          <cell r="D41" t="str">
            <v>Pembongkaran Pasangan Bata</v>
          </cell>
          <cell r="H41" t="str">
            <v>l.3</v>
          </cell>
          <cell r="I41">
            <v>0.36</v>
          </cell>
          <cell r="J41" t="str">
            <v>M3</v>
          </cell>
          <cell r="K41">
            <v>116400</v>
          </cell>
          <cell r="L41">
            <v>41904</v>
          </cell>
        </row>
        <row r="42">
          <cell r="B42">
            <v>2</v>
          </cell>
          <cell r="D42" t="str">
            <v>Pas. Fondasi Talud Batu Belah hitam adk. 1 : 4</v>
          </cell>
          <cell r="H42" t="str">
            <v>G.32h+G.26(a)</v>
          </cell>
          <cell r="I42">
            <v>29.5</v>
          </cell>
          <cell r="J42" t="str">
            <v>M3</v>
          </cell>
          <cell r="K42">
            <v>527127.02</v>
          </cell>
          <cell r="L42">
            <v>15550247.09</v>
          </cell>
        </row>
        <row r="43">
          <cell r="B43">
            <v>3</v>
          </cell>
          <cell r="D43" t="str">
            <v>Pas. Sloof 15/20</v>
          </cell>
          <cell r="H43" t="str">
            <v>G.41+3/4 I.2(a)+1/2 F.8</v>
          </cell>
          <cell r="I43">
            <v>1.03</v>
          </cell>
          <cell r="J43" t="str">
            <v>M3</v>
          </cell>
          <cell r="K43">
            <v>2649475.14</v>
          </cell>
          <cell r="L43">
            <v>2728959.39</v>
          </cell>
        </row>
        <row r="44">
          <cell r="B44">
            <v>4</v>
          </cell>
          <cell r="D44" t="str">
            <v>Pasang Pagar Beton Precast</v>
          </cell>
          <cell r="H44" t="str">
            <v>Supl.2d</v>
          </cell>
          <cell r="I44">
            <v>72.150000000000006</v>
          </cell>
          <cell r="J44" t="str">
            <v>M2</v>
          </cell>
          <cell r="K44">
            <v>122908.16</v>
          </cell>
          <cell r="L44">
            <v>8867823.7400000002</v>
          </cell>
        </row>
        <row r="45">
          <cell r="B45">
            <v>5</v>
          </cell>
          <cell r="D45" t="str">
            <v>Galian Tanah Perataan Lokasi</v>
          </cell>
          <cell r="H45" t="str">
            <v>A.1</v>
          </cell>
          <cell r="I45">
            <v>196.875</v>
          </cell>
          <cell r="J45" t="str">
            <v>M3</v>
          </cell>
          <cell r="K45">
            <v>19775</v>
          </cell>
          <cell r="L45">
            <v>3893203.13</v>
          </cell>
        </row>
        <row r="46">
          <cell r="B46">
            <v>6</v>
          </cell>
          <cell r="D46" t="str">
            <v>Pesangan Profil L 60.60.6 dan Kawat Duri</v>
          </cell>
          <cell r="H46" t="str">
            <v>Supl.BMPK.17B</v>
          </cell>
          <cell r="I46">
            <v>28.2</v>
          </cell>
          <cell r="J46" t="str">
            <v>M2</v>
          </cell>
          <cell r="K46">
            <v>55966.67</v>
          </cell>
          <cell r="L46">
            <v>1578260.09</v>
          </cell>
        </row>
        <row r="47">
          <cell r="B47">
            <v>7</v>
          </cell>
          <cell r="D47" t="str">
            <v>Pengecatan</v>
          </cell>
          <cell r="H47" t="str">
            <v>G.53.1</v>
          </cell>
          <cell r="I47">
            <v>144.30000000000001</v>
          </cell>
          <cell r="J47" t="str">
            <v>M2</v>
          </cell>
          <cell r="K47">
            <v>7561</v>
          </cell>
          <cell r="L47">
            <v>1091052.3</v>
          </cell>
        </row>
        <row r="48">
          <cell r="D48" t="str">
            <v>SUB TOTAL  III</v>
          </cell>
          <cell r="L48">
            <v>33751449.739999995</v>
          </cell>
        </row>
        <row r="49">
          <cell r="B49" t="str">
            <v>IV</v>
          </cell>
          <cell r="D49" t="str">
            <v>PEMBANGUNAN TUGU PINTU GERBANG</v>
          </cell>
        </row>
        <row r="50">
          <cell r="B50">
            <v>1</v>
          </cell>
          <cell r="D50" t="str">
            <v>Pembongkaran Pas. Aspal</v>
          </cell>
          <cell r="H50" t="str">
            <v>Ls</v>
          </cell>
          <cell r="I50">
            <v>1</v>
          </cell>
          <cell r="J50" t="str">
            <v>Ls</v>
          </cell>
          <cell r="K50">
            <v>350000</v>
          </cell>
          <cell r="L50">
            <v>350000</v>
          </cell>
        </row>
        <row r="51">
          <cell r="B51">
            <v>2</v>
          </cell>
          <cell r="D51" t="str">
            <v>Galian Tanah Fondasi</v>
          </cell>
          <cell r="H51" t="str">
            <v>A.1</v>
          </cell>
          <cell r="I51">
            <v>2.7040000000000006</v>
          </cell>
          <cell r="J51" t="str">
            <v>M3</v>
          </cell>
          <cell r="K51">
            <v>19775</v>
          </cell>
          <cell r="L51">
            <v>53471.6</v>
          </cell>
        </row>
        <row r="52">
          <cell r="B52">
            <v>3</v>
          </cell>
          <cell r="D52" t="str">
            <v>Urugan Pasir Alas Fondasi t=5 Cm</v>
          </cell>
          <cell r="H52" t="str">
            <v>A.18</v>
          </cell>
          <cell r="I52">
            <v>0.14399999999999999</v>
          </cell>
          <cell r="J52" t="str">
            <v>M3</v>
          </cell>
          <cell r="K52">
            <v>146691.20000000001</v>
          </cell>
          <cell r="L52">
            <v>21123.53</v>
          </cell>
        </row>
        <row r="53">
          <cell r="B53">
            <v>4</v>
          </cell>
          <cell r="D53" t="str">
            <v>Cor Beton Fondasi 120 x 120 x 25</v>
          </cell>
          <cell r="H53" t="str">
            <v>G.41+3/4 I.2(a)+1/2 F.8</v>
          </cell>
          <cell r="I53">
            <v>0.72</v>
          </cell>
          <cell r="J53" t="str">
            <v>M3</v>
          </cell>
          <cell r="K53">
            <v>2649475.14</v>
          </cell>
          <cell r="L53">
            <v>1907622.1</v>
          </cell>
        </row>
        <row r="54">
          <cell r="B54">
            <v>5</v>
          </cell>
          <cell r="D54" t="str">
            <v>Cor Beton Fondasi Kolom 15/80</v>
          </cell>
          <cell r="H54" t="str">
            <v>G.41+3/4 I.2(a)+1/2 F.8</v>
          </cell>
          <cell r="I54">
            <v>2.25</v>
          </cell>
          <cell r="J54" t="str">
            <v>M3</v>
          </cell>
          <cell r="K54">
            <v>2649475.14</v>
          </cell>
          <cell r="L54">
            <v>5961319.0700000003</v>
          </cell>
        </row>
        <row r="55">
          <cell r="B55">
            <v>6</v>
          </cell>
          <cell r="D55" t="str">
            <v>Cor Beton Plat Beton 100 x 100 x 10</v>
          </cell>
          <cell r="H55" t="str">
            <v>G.41+3/4 I.2(a)+1/2 F.8</v>
          </cell>
          <cell r="I55">
            <v>0.6</v>
          </cell>
          <cell r="J55" t="str">
            <v>M3</v>
          </cell>
          <cell r="K55">
            <v>2649475.14</v>
          </cell>
          <cell r="L55">
            <v>1589685.08</v>
          </cell>
        </row>
        <row r="56">
          <cell r="B56">
            <v>7</v>
          </cell>
          <cell r="D56" t="str">
            <v>Cor Beton Balok Gantung 10/10</v>
          </cell>
          <cell r="H56" t="str">
            <v>G.41+3/4 I.2(b)+1/2 F.8</v>
          </cell>
          <cell r="I56">
            <v>0.15</v>
          </cell>
          <cell r="J56" t="str">
            <v>M3</v>
          </cell>
          <cell r="K56">
            <v>3011086.64</v>
          </cell>
          <cell r="L56">
            <v>451663</v>
          </cell>
        </row>
        <row r="57">
          <cell r="B57">
            <v>8</v>
          </cell>
          <cell r="D57" t="str">
            <v>Pasangan Bata Adk 1:4</v>
          </cell>
          <cell r="H57" t="str">
            <v>G.33h+G.32a</v>
          </cell>
          <cell r="I57">
            <v>2.88</v>
          </cell>
          <cell r="J57" t="str">
            <v>M3</v>
          </cell>
          <cell r="K57">
            <v>383258.81</v>
          </cell>
          <cell r="L57">
            <v>1103785.3700000001</v>
          </cell>
        </row>
        <row r="58">
          <cell r="B58">
            <v>9</v>
          </cell>
          <cell r="D58" t="str">
            <v>Pasang Keramik Dinding 30/30</v>
          </cell>
          <cell r="H58" t="str">
            <v>Supl.IV(d)</v>
          </cell>
          <cell r="I58">
            <v>21.75</v>
          </cell>
          <cell r="J58" t="str">
            <v>M2</v>
          </cell>
          <cell r="K58">
            <v>88941.59</v>
          </cell>
          <cell r="L58">
            <v>1934479.58</v>
          </cell>
        </row>
        <row r="59">
          <cell r="B59">
            <v>10</v>
          </cell>
          <cell r="D59" t="str">
            <v>Pasang Plester Kasar</v>
          </cell>
          <cell r="H59" t="str">
            <v>Ls</v>
          </cell>
          <cell r="I59">
            <v>2.2679999999999998</v>
          </cell>
          <cell r="J59" t="str">
            <v>M2</v>
          </cell>
          <cell r="K59">
            <v>150000</v>
          </cell>
          <cell r="L59">
            <v>340200</v>
          </cell>
        </row>
        <row r="60">
          <cell r="B60">
            <v>11</v>
          </cell>
          <cell r="D60" t="str">
            <v>Pasang kuda-kuda+ Jurai 5/10 Kayu Klas II</v>
          </cell>
          <cell r="H60" t="str">
            <v>F.III.13(a)</v>
          </cell>
          <cell r="I60">
            <v>9.8240000000000022E-2</v>
          </cell>
          <cell r="J60" t="str">
            <v>M3</v>
          </cell>
          <cell r="K60">
            <v>3052420</v>
          </cell>
          <cell r="L60">
            <v>299869.74</v>
          </cell>
        </row>
        <row r="61">
          <cell r="B61">
            <v>12</v>
          </cell>
          <cell r="D61" t="str">
            <v>Pasang Rangka Atap Kayu Klas II</v>
          </cell>
          <cell r="H61" t="str">
            <v>F.16</v>
          </cell>
          <cell r="I61">
            <v>6.06</v>
          </cell>
          <cell r="J61" t="str">
            <v>M2</v>
          </cell>
          <cell r="K61">
            <v>17602</v>
          </cell>
          <cell r="L61">
            <v>106668.12</v>
          </cell>
        </row>
        <row r="62">
          <cell r="B62">
            <v>13</v>
          </cell>
          <cell r="D62" t="str">
            <v>Pasang Atap Genting Glazur</v>
          </cell>
          <cell r="H62" t="str">
            <v>H.2</v>
          </cell>
          <cell r="I62">
            <v>6.06</v>
          </cell>
          <cell r="J62" t="str">
            <v>M2</v>
          </cell>
          <cell r="K62">
            <v>13800</v>
          </cell>
          <cell r="L62">
            <v>83628</v>
          </cell>
        </row>
        <row r="63">
          <cell r="B63">
            <v>14</v>
          </cell>
          <cell r="D63" t="str">
            <v>Pasang Karpus Genteng Glazur</v>
          </cell>
          <cell r="H63" t="str">
            <v>H.6+G.16(e)</v>
          </cell>
          <cell r="I63">
            <v>12.21</v>
          </cell>
          <cell r="J63" t="str">
            <v>M'</v>
          </cell>
          <cell r="K63">
            <v>92740</v>
          </cell>
          <cell r="L63">
            <v>1132355.3999999999</v>
          </cell>
        </row>
        <row r="65">
          <cell r="B65">
            <v>15</v>
          </cell>
          <cell r="D65" t="str">
            <v>Pasang Mahkota</v>
          </cell>
          <cell r="H65" t="str">
            <v>ls</v>
          </cell>
          <cell r="I65">
            <v>2</v>
          </cell>
          <cell r="J65" t="str">
            <v>Bh</v>
          </cell>
          <cell r="K65">
            <v>250000</v>
          </cell>
          <cell r="L65">
            <v>500000</v>
          </cell>
        </row>
        <row r="66">
          <cell r="B66">
            <v>16</v>
          </cell>
          <cell r="D66" t="str">
            <v>Pasang Lisplank 25 cm</v>
          </cell>
          <cell r="H66" t="str">
            <v>F.21</v>
          </cell>
          <cell r="I66">
            <v>3.5</v>
          </cell>
          <cell r="J66" t="str">
            <v>M2</v>
          </cell>
          <cell r="K66">
            <v>93324</v>
          </cell>
          <cell r="L66">
            <v>326634</v>
          </cell>
        </row>
        <row r="67">
          <cell r="B67">
            <v>17</v>
          </cell>
          <cell r="D67" t="str">
            <v>Pasang Rangka Plafound</v>
          </cell>
          <cell r="H67" t="str">
            <v>F.1.1</v>
          </cell>
          <cell r="I67">
            <v>0.31</v>
          </cell>
          <cell r="J67" t="str">
            <v>M3</v>
          </cell>
          <cell r="K67">
            <v>2685950</v>
          </cell>
          <cell r="L67">
            <v>832644.5</v>
          </cell>
        </row>
        <row r="68">
          <cell r="B68">
            <v>18</v>
          </cell>
          <cell r="D68" t="str">
            <v>Pasang Plafound Asbes Semen</v>
          </cell>
          <cell r="H68" t="str">
            <v>D.12(a)</v>
          </cell>
          <cell r="I68">
            <v>4.6100000000000003</v>
          </cell>
          <cell r="J68" t="str">
            <v>M2</v>
          </cell>
          <cell r="K68">
            <v>23115</v>
          </cell>
          <cell r="L68">
            <v>106560.15</v>
          </cell>
        </row>
        <row r="69">
          <cell r="B69">
            <v>19</v>
          </cell>
          <cell r="D69" t="str">
            <v>Pasang Rangka Besi PIPA GIV 2"</v>
          </cell>
          <cell r="H69" t="str">
            <v>Ls</v>
          </cell>
          <cell r="I69">
            <v>41.36</v>
          </cell>
          <cell r="J69" t="str">
            <v>M'</v>
          </cell>
          <cell r="K69">
            <v>175000</v>
          </cell>
          <cell r="L69">
            <v>7238000</v>
          </cell>
        </row>
        <row r="70">
          <cell r="B70">
            <v>20</v>
          </cell>
          <cell r="D70" t="str">
            <v>Pasang Rangka Besi PIPA GIV 1"</v>
          </cell>
          <cell r="H70" t="str">
            <v>Ls</v>
          </cell>
          <cell r="I70">
            <v>24.54</v>
          </cell>
          <cell r="J70" t="str">
            <v>M'</v>
          </cell>
          <cell r="K70">
            <v>125000</v>
          </cell>
          <cell r="L70">
            <v>3067500</v>
          </cell>
        </row>
        <row r="71">
          <cell r="B71">
            <v>21</v>
          </cell>
          <cell r="D71" t="str">
            <v>Cat Lisplank t=25 cm</v>
          </cell>
          <cell r="H71" t="str">
            <v>Supl.IX.1</v>
          </cell>
          <cell r="I71">
            <v>13.6</v>
          </cell>
          <cell r="J71" t="str">
            <v>M2</v>
          </cell>
          <cell r="K71">
            <v>14171.75</v>
          </cell>
          <cell r="L71">
            <v>192735.8</v>
          </cell>
        </row>
        <row r="72">
          <cell r="B72">
            <v>22</v>
          </cell>
          <cell r="D72" t="str">
            <v>Cat Tembok / Plafound</v>
          </cell>
          <cell r="H72" t="str">
            <v>G.53.1</v>
          </cell>
          <cell r="I72">
            <v>6.8780000000000001</v>
          </cell>
          <cell r="J72" t="str">
            <v>M2</v>
          </cell>
          <cell r="K72">
            <v>7561</v>
          </cell>
          <cell r="L72">
            <v>52004.56</v>
          </cell>
        </row>
        <row r="73">
          <cell r="B73">
            <v>23</v>
          </cell>
          <cell r="D73" t="str">
            <v>Pembuatan Logo Kantor Kejaksaan dari Baja</v>
          </cell>
          <cell r="H73" t="str">
            <v>Ls</v>
          </cell>
          <cell r="I73">
            <v>2</v>
          </cell>
          <cell r="J73" t="str">
            <v>Bh</v>
          </cell>
          <cell r="K73">
            <v>1000000</v>
          </cell>
          <cell r="L73">
            <v>2000000</v>
          </cell>
        </row>
        <row r="74">
          <cell r="B74">
            <v>24</v>
          </cell>
          <cell r="D74" t="str">
            <v>Cat Besi Rangka Pelengkung</v>
          </cell>
          <cell r="H74" t="str">
            <v>Supl.IX.2</v>
          </cell>
          <cell r="I74">
            <v>2.1452</v>
          </cell>
          <cell r="J74" t="str">
            <v>M'</v>
          </cell>
          <cell r="K74">
            <v>16798.75</v>
          </cell>
          <cell r="L74">
            <v>36036.68</v>
          </cell>
        </row>
        <row r="75">
          <cell r="D75" t="str">
            <v>SUB TOTAL  IV</v>
          </cell>
          <cell r="L75">
            <v>29687986.279999997</v>
          </cell>
        </row>
        <row r="76">
          <cell r="B76" t="str">
            <v>V</v>
          </cell>
          <cell r="D76" t="str">
            <v>REHAB MUSHOLA DAN KM/WC</v>
          </cell>
        </row>
        <row r="77">
          <cell r="B77" t="str">
            <v>V.A</v>
          </cell>
          <cell r="D77" t="str">
            <v>PEKERJAAN BONGKARAN</v>
          </cell>
        </row>
        <row r="78">
          <cell r="B78">
            <v>1</v>
          </cell>
          <cell r="D78" t="str">
            <v>Penurunan Atap, lisplank</v>
          </cell>
          <cell r="H78" t="str">
            <v>L.7</v>
          </cell>
          <cell r="I78">
            <v>46.25</v>
          </cell>
          <cell r="J78" t="str">
            <v>M2</v>
          </cell>
          <cell r="K78">
            <v>910</v>
          </cell>
          <cell r="L78">
            <v>42087.5</v>
          </cell>
        </row>
        <row r="79">
          <cell r="B79">
            <v>2</v>
          </cell>
          <cell r="D79" t="str">
            <v>Bongkar Plafond</v>
          </cell>
          <cell r="H79" t="str">
            <v>L.11</v>
          </cell>
          <cell r="I79">
            <v>41.6</v>
          </cell>
          <cell r="J79" t="str">
            <v>M2</v>
          </cell>
          <cell r="K79">
            <v>7936</v>
          </cell>
          <cell r="L79">
            <v>330137.59999999998</v>
          </cell>
        </row>
        <row r="80">
          <cell r="B80">
            <v>3</v>
          </cell>
          <cell r="D80" t="str">
            <v>Bongkar Lantai kll + Rabat Beton Sekitar Mushola</v>
          </cell>
          <cell r="H80" t="str">
            <v>L.5</v>
          </cell>
          <cell r="I80">
            <v>48.1</v>
          </cell>
          <cell r="J80" t="str">
            <v>M2</v>
          </cell>
          <cell r="K80">
            <v>5410</v>
          </cell>
          <cell r="L80">
            <v>260221</v>
          </cell>
        </row>
        <row r="81">
          <cell r="B81">
            <v>4</v>
          </cell>
          <cell r="D81" t="str">
            <v>Bongkar Kramik Dinding Mushola + Tempat Wudhu</v>
          </cell>
          <cell r="H81" t="str">
            <v>L.5</v>
          </cell>
          <cell r="I81">
            <v>56.84</v>
          </cell>
          <cell r="J81" t="str">
            <v>M2</v>
          </cell>
          <cell r="K81">
            <v>5410</v>
          </cell>
          <cell r="L81">
            <v>307504.40000000002</v>
          </cell>
        </row>
        <row r="82">
          <cell r="B82">
            <v>5</v>
          </cell>
          <cell r="D82" t="str">
            <v>Bongkaran Kusen, Jendela, Pintu</v>
          </cell>
          <cell r="H82" t="str">
            <v>L.11</v>
          </cell>
          <cell r="I82">
            <v>15.94</v>
          </cell>
          <cell r="J82" t="str">
            <v>M2</v>
          </cell>
          <cell r="K82">
            <v>7936</v>
          </cell>
          <cell r="L82">
            <v>126499.84</v>
          </cell>
        </row>
        <row r="83">
          <cell r="D83" t="str">
            <v>SUB TOTAL  V.A</v>
          </cell>
          <cell r="L83">
            <v>1066450.3400000001</v>
          </cell>
        </row>
        <row r="84">
          <cell r="B84" t="str">
            <v>V.B</v>
          </cell>
          <cell r="D84" t="str">
            <v>PEKERJAAN GALIAN DAN TANAH</v>
          </cell>
        </row>
        <row r="85">
          <cell r="B85">
            <v>1</v>
          </cell>
          <cell r="D85" t="str">
            <v>Pek. Galian tanah KM/WC</v>
          </cell>
          <cell r="H85" t="str">
            <v>A.1</v>
          </cell>
          <cell r="I85">
            <v>5.2</v>
          </cell>
          <cell r="J85" t="str">
            <v>M3</v>
          </cell>
          <cell r="K85">
            <v>19775</v>
          </cell>
          <cell r="L85">
            <v>102830</v>
          </cell>
        </row>
        <row r="86">
          <cell r="B86">
            <v>2</v>
          </cell>
          <cell r="D86" t="str">
            <v>Pek. Galian tanah tempat wudhu</v>
          </cell>
          <cell r="H86" t="str">
            <v>A.1</v>
          </cell>
          <cell r="I86">
            <v>0.32</v>
          </cell>
          <cell r="J86" t="str">
            <v>M3</v>
          </cell>
          <cell r="K86">
            <v>19775</v>
          </cell>
          <cell r="L86">
            <v>6328</v>
          </cell>
        </row>
        <row r="87">
          <cell r="B87">
            <v>3</v>
          </cell>
          <cell r="D87" t="str">
            <v>Pek Urugan tanah kembali</v>
          </cell>
          <cell r="H87" t="str">
            <v>A.16</v>
          </cell>
          <cell r="I87">
            <v>1.49</v>
          </cell>
          <cell r="J87" t="str">
            <v>M3</v>
          </cell>
          <cell r="K87">
            <v>6660</v>
          </cell>
          <cell r="L87">
            <v>9923.4</v>
          </cell>
        </row>
        <row r="88">
          <cell r="B88">
            <v>4</v>
          </cell>
          <cell r="D88" t="str">
            <v>Pek. Urugan pasir di bawah pondasi</v>
          </cell>
          <cell r="H88" t="str">
            <v>A.18</v>
          </cell>
          <cell r="I88">
            <v>0.06</v>
          </cell>
          <cell r="J88" t="str">
            <v>M3</v>
          </cell>
          <cell r="K88">
            <v>146691.20000000001</v>
          </cell>
          <cell r="L88">
            <v>8801.4699999999993</v>
          </cell>
        </row>
        <row r="89">
          <cell r="B89">
            <v>5</v>
          </cell>
          <cell r="D89" t="str">
            <v>Pas Rolak Bata</v>
          </cell>
          <cell r="H89" t="str">
            <v>G.33h+G.32a</v>
          </cell>
          <cell r="I89">
            <v>0.2</v>
          </cell>
          <cell r="J89" t="str">
            <v>M3</v>
          </cell>
          <cell r="K89">
            <v>383258.81</v>
          </cell>
          <cell r="L89">
            <v>76651.759999999995</v>
          </cell>
        </row>
        <row r="90">
          <cell r="D90" t="str">
            <v>SUB TOTAL  V.B</v>
          </cell>
          <cell r="L90">
            <v>204534.63</v>
          </cell>
        </row>
        <row r="91">
          <cell r="B91" t="str">
            <v>V.C</v>
          </cell>
          <cell r="D91" t="str">
            <v>PEKERJAAN PASANGAN</v>
          </cell>
        </row>
        <row r="92">
          <cell r="B92">
            <v>1</v>
          </cell>
          <cell r="D92" t="str">
            <v>Pas. Genteng Plentong Mushola</v>
          </cell>
          <cell r="H92" t="str">
            <v>H.2(c)</v>
          </cell>
          <cell r="I92">
            <v>41.6</v>
          </cell>
          <cell r="J92" t="str">
            <v>M2</v>
          </cell>
          <cell r="K92">
            <v>22120</v>
          </cell>
          <cell r="L92">
            <v>920192</v>
          </cell>
        </row>
        <row r="93">
          <cell r="B93">
            <v>2</v>
          </cell>
          <cell r="D93" t="str">
            <v>Pas. Bubungan Plentong Mushola</v>
          </cell>
          <cell r="H93" t="str">
            <v>H.2.1(c)</v>
          </cell>
          <cell r="I93">
            <v>33.119999999999997</v>
          </cell>
          <cell r="J93" t="str">
            <v>M1</v>
          </cell>
          <cell r="K93">
            <v>32340</v>
          </cell>
          <cell r="L93">
            <v>1071100.8</v>
          </cell>
        </row>
        <row r="94">
          <cell r="B94">
            <v>3</v>
          </cell>
          <cell r="D94" t="str">
            <v>Pas. Plafond Teakwood 5mm Mushola</v>
          </cell>
          <cell r="H94" t="str">
            <v>D.12(a)</v>
          </cell>
          <cell r="I94">
            <v>41.16</v>
          </cell>
          <cell r="J94" t="str">
            <v>M2</v>
          </cell>
          <cell r="K94">
            <v>23115</v>
          </cell>
          <cell r="L94">
            <v>951413.4</v>
          </cell>
        </row>
        <row r="95">
          <cell r="B95">
            <v>4</v>
          </cell>
          <cell r="D95" t="str">
            <v>Pas. Papan Lisplank 25 cm Mushola</v>
          </cell>
          <cell r="H95" t="str">
            <v>F.21</v>
          </cell>
          <cell r="I95">
            <v>6.59</v>
          </cell>
          <cell r="J95" t="str">
            <v>M2</v>
          </cell>
          <cell r="K95">
            <v>93324</v>
          </cell>
          <cell r="L95">
            <v>615005.16</v>
          </cell>
        </row>
        <row r="96">
          <cell r="B96">
            <v>5</v>
          </cell>
          <cell r="D96" t="str">
            <v>Pas. Profil Sudut Plapond 5 cm kll Mushola</v>
          </cell>
          <cell r="H96" t="str">
            <v>Supl.BMPK.15</v>
          </cell>
          <cell r="I96">
            <v>60.5</v>
          </cell>
          <cell r="J96" t="str">
            <v>M'</v>
          </cell>
          <cell r="K96">
            <v>24235</v>
          </cell>
          <cell r="L96">
            <v>1466217.5</v>
          </cell>
        </row>
        <row r="97">
          <cell r="B97">
            <v>6</v>
          </cell>
          <cell r="D97" t="str">
            <v>Pas. Marmer 20/20 Dinding Dalam Mushola</v>
          </cell>
          <cell r="H97" t="str">
            <v>Supl.IV(i)</v>
          </cell>
          <cell r="I97">
            <v>34.94</v>
          </cell>
          <cell r="J97" t="str">
            <v>M2</v>
          </cell>
          <cell r="K97">
            <v>111116.59</v>
          </cell>
          <cell r="L97">
            <v>3882413.65</v>
          </cell>
        </row>
        <row r="98">
          <cell r="B98">
            <v>7</v>
          </cell>
          <cell r="D98" t="str">
            <v>Pas Keramik 10/25 cm Dinding luar Mushola</v>
          </cell>
          <cell r="H98" t="str">
            <v>Supl.III(b)</v>
          </cell>
          <cell r="I98">
            <v>14.21</v>
          </cell>
          <cell r="J98" t="str">
            <v>M2</v>
          </cell>
          <cell r="K98">
            <v>85941.59</v>
          </cell>
          <cell r="L98">
            <v>1221229.99</v>
          </cell>
        </row>
        <row r="99">
          <cell r="B99">
            <v>8</v>
          </cell>
          <cell r="D99" t="str">
            <v>Pas. Pondasi Batu belah hitam KM/WC</v>
          </cell>
          <cell r="H99" t="str">
            <v>G.32L+G.26(a)</v>
          </cell>
          <cell r="I99">
            <v>4.7300000000000004</v>
          </cell>
          <cell r="J99" t="str">
            <v>M3</v>
          </cell>
          <cell r="K99">
            <v>542996.29</v>
          </cell>
          <cell r="L99">
            <v>2568372.4500000002</v>
          </cell>
        </row>
        <row r="100">
          <cell r="B100">
            <v>9</v>
          </cell>
          <cell r="D100" t="str">
            <v>Pas. Sloof 12/15 KM/WC</v>
          </cell>
          <cell r="H100" t="str">
            <v>G.41+3/4 I.2(b)+1/2 F.8</v>
          </cell>
          <cell r="I100">
            <v>0.43</v>
          </cell>
          <cell r="J100" t="str">
            <v>M3</v>
          </cell>
          <cell r="K100">
            <v>3011086.64</v>
          </cell>
          <cell r="L100">
            <v>1294767.26</v>
          </cell>
        </row>
        <row r="101">
          <cell r="B101">
            <v>10</v>
          </cell>
          <cell r="D101" t="str">
            <v>Pas. Ring Balk 12/15 KM/WC</v>
          </cell>
          <cell r="H101" t="str">
            <v>G.41+3/4 I.2(b)+1/2 F.8</v>
          </cell>
          <cell r="I101">
            <v>0.43</v>
          </cell>
          <cell r="J101" t="str">
            <v>M3</v>
          </cell>
          <cell r="K101">
            <v>3011086.64</v>
          </cell>
          <cell r="L101">
            <v>1294767.26</v>
          </cell>
        </row>
        <row r="102">
          <cell r="B102">
            <v>11</v>
          </cell>
          <cell r="D102" t="str">
            <v>Pas. Plat Beton 12 cm penutup saluran</v>
          </cell>
          <cell r="H102" t="str">
            <v>G.41+3/4 I.2(b)+1/2 F.8</v>
          </cell>
          <cell r="I102">
            <v>9.1999999999999998E-2</v>
          </cell>
          <cell r="J102" t="str">
            <v>M3</v>
          </cell>
          <cell r="K102">
            <v>3011086.64</v>
          </cell>
          <cell r="L102">
            <v>277019.96999999997</v>
          </cell>
        </row>
        <row r="103">
          <cell r="B103">
            <v>12</v>
          </cell>
          <cell r="D103" t="str">
            <v>Pas Dinding Bata 1:4 KM/WC</v>
          </cell>
          <cell r="H103" t="str">
            <v>G.33h+G.32a</v>
          </cell>
          <cell r="I103">
            <v>5.8920000000000003</v>
          </cell>
          <cell r="J103" t="str">
            <v>M3</v>
          </cell>
          <cell r="K103">
            <v>383258.81</v>
          </cell>
          <cell r="L103">
            <v>2258160.91</v>
          </cell>
        </row>
        <row r="104">
          <cell r="B104">
            <v>13</v>
          </cell>
          <cell r="D104" t="str">
            <v>Plesteran dinding tebal 15mm 1:4 KM/WC</v>
          </cell>
          <cell r="H104" t="str">
            <v>G.50q+G.48</v>
          </cell>
          <cell r="I104">
            <v>90.72</v>
          </cell>
          <cell r="J104" t="str">
            <v>M2</v>
          </cell>
          <cell r="K104">
            <v>19133.61</v>
          </cell>
          <cell r="L104">
            <v>1735801.1</v>
          </cell>
        </row>
        <row r="105">
          <cell r="B105">
            <v>14</v>
          </cell>
          <cell r="D105" t="str">
            <v>Pasang Rangka Atap Kayu Klas II KM/WC</v>
          </cell>
          <cell r="H105" t="str">
            <v>F.16</v>
          </cell>
          <cell r="I105">
            <v>18.829999999999998</v>
          </cell>
          <cell r="J105" t="str">
            <v>M2</v>
          </cell>
          <cell r="K105">
            <v>17602</v>
          </cell>
          <cell r="L105">
            <v>331445.65999999997</v>
          </cell>
        </row>
        <row r="106">
          <cell r="B106">
            <v>15</v>
          </cell>
          <cell r="D106" t="str">
            <v>Pasang Atap Genting Plentong KM/WC</v>
          </cell>
          <cell r="H106" t="str">
            <v>H.2(e)</v>
          </cell>
          <cell r="I106">
            <v>18.829999999999998</v>
          </cell>
          <cell r="J106" t="str">
            <v>M2</v>
          </cell>
          <cell r="K106">
            <v>81120</v>
          </cell>
          <cell r="L106">
            <v>1527489.6</v>
          </cell>
        </row>
        <row r="107">
          <cell r="B107">
            <v>16</v>
          </cell>
          <cell r="D107" t="str">
            <v>Pasang Rangka Plafound KM/WC</v>
          </cell>
          <cell r="H107" t="str">
            <v>F.1.1</v>
          </cell>
          <cell r="I107">
            <v>0.12</v>
          </cell>
          <cell r="J107" t="str">
            <v>M3</v>
          </cell>
          <cell r="K107">
            <v>2685950</v>
          </cell>
          <cell r="L107">
            <v>322314</v>
          </cell>
        </row>
        <row r="108">
          <cell r="B108">
            <v>17</v>
          </cell>
          <cell r="D108" t="str">
            <v>Pasang Plafound Teakwood 5 mm KM/WC</v>
          </cell>
          <cell r="H108" t="str">
            <v>D.12(a)</v>
          </cell>
          <cell r="I108">
            <v>17.45</v>
          </cell>
          <cell r="J108" t="str">
            <v>M2</v>
          </cell>
          <cell r="K108">
            <v>23115</v>
          </cell>
          <cell r="L108">
            <v>403356.75</v>
          </cell>
        </row>
        <row r="109">
          <cell r="B109">
            <v>18</v>
          </cell>
          <cell r="D109" t="str">
            <v>Pas. Lis Sudut Plapond 5cm KM/WC</v>
          </cell>
          <cell r="H109" t="str">
            <v>Supl.BMPK.15</v>
          </cell>
          <cell r="I109">
            <v>19.559999999999999</v>
          </cell>
          <cell r="J109" t="str">
            <v>M'</v>
          </cell>
          <cell r="K109">
            <v>24235</v>
          </cell>
          <cell r="L109">
            <v>474036.6</v>
          </cell>
        </row>
        <row r="110">
          <cell r="B110">
            <v>19</v>
          </cell>
          <cell r="D110" t="str">
            <v>Pas. Lisplank samping KM/WC 25 cm</v>
          </cell>
          <cell r="H110" t="str">
            <v>F.21</v>
          </cell>
          <cell r="I110">
            <v>5.0199999999999996</v>
          </cell>
          <cell r="J110" t="str">
            <v>M2</v>
          </cell>
          <cell r="K110">
            <v>93324</v>
          </cell>
          <cell r="L110">
            <v>468486.48</v>
          </cell>
        </row>
        <row r="111">
          <cell r="B111">
            <v>20</v>
          </cell>
          <cell r="D111" t="str">
            <v>Pas. Dinding Bata adk 1: 4 Tempat Wudhu</v>
          </cell>
          <cell r="H111" t="str">
            <v>G.33h+G.32a</v>
          </cell>
          <cell r="I111">
            <v>0.96799999999999997</v>
          </cell>
          <cell r="J111" t="str">
            <v>M3</v>
          </cell>
          <cell r="K111">
            <v>383258.81</v>
          </cell>
          <cell r="L111">
            <v>370994.53</v>
          </cell>
        </row>
        <row r="112">
          <cell r="B112">
            <v>21</v>
          </cell>
          <cell r="D112" t="str">
            <v>Pas. Pasir bawah lantai Tempat Wudhu</v>
          </cell>
          <cell r="H112" t="str">
            <v>A.18</v>
          </cell>
          <cell r="I112">
            <v>0.06</v>
          </cell>
          <cell r="J112" t="str">
            <v>M3</v>
          </cell>
          <cell r="K112">
            <v>146691.20000000001</v>
          </cell>
          <cell r="L112">
            <v>8801.4699999999993</v>
          </cell>
        </row>
        <row r="113">
          <cell r="B113">
            <v>22</v>
          </cell>
          <cell r="D113" t="str">
            <v>Pas. Keramik 20/20 Textur Anti Slip KM/WC</v>
          </cell>
          <cell r="H113" t="str">
            <v>Supl.III(c)</v>
          </cell>
          <cell r="I113">
            <v>8.11</v>
          </cell>
          <cell r="J113" t="str">
            <v>M2</v>
          </cell>
          <cell r="K113">
            <v>64691.59</v>
          </cell>
          <cell r="L113">
            <v>524648.79</v>
          </cell>
        </row>
        <row r="114">
          <cell r="B114">
            <v>23</v>
          </cell>
          <cell r="D114" t="str">
            <v>Pas. Keramik Dinding Dalam 20/20 KM/WC</v>
          </cell>
          <cell r="H114" t="str">
            <v>Supl.III(c)</v>
          </cell>
          <cell r="I114">
            <v>16.64</v>
          </cell>
          <cell r="J114" t="str">
            <v>M2</v>
          </cell>
          <cell r="K114">
            <v>64691.59</v>
          </cell>
          <cell r="L114">
            <v>1076468.06</v>
          </cell>
        </row>
        <row r="115">
          <cell r="B115">
            <v>24</v>
          </cell>
          <cell r="D115" t="str">
            <v>Pas. Keramik 30/30 textur anti slip untuk lantai keliling bangunan Mushola dan tempat wudhu</v>
          </cell>
          <cell r="H115" t="str">
            <v>Supl.III(d)</v>
          </cell>
          <cell r="I115">
            <v>48.1</v>
          </cell>
          <cell r="J115" t="str">
            <v>M2</v>
          </cell>
          <cell r="K115">
            <v>64891.59</v>
          </cell>
          <cell r="L115">
            <v>3121285.48</v>
          </cell>
        </row>
        <row r="116">
          <cell r="D116" t="str">
            <v>SUB TOTAL  V.C</v>
          </cell>
          <cell r="L116">
            <v>28185788.870000005</v>
          </cell>
        </row>
        <row r="117">
          <cell r="B117" t="str">
            <v>V.D</v>
          </cell>
          <cell r="D117" t="str">
            <v>PEK. KUSEN &amp; DAUN PINTU</v>
          </cell>
        </row>
        <row r="118">
          <cell r="B118">
            <v>1</v>
          </cell>
          <cell r="D118" t="str">
            <v>Pas. Kusen Daun Pintu KM/WC PVC Terpasang</v>
          </cell>
          <cell r="H118" t="str">
            <v>Ls</v>
          </cell>
          <cell r="I118">
            <v>3</v>
          </cell>
          <cell r="J118" t="str">
            <v>Unit</v>
          </cell>
          <cell r="K118">
            <v>210000</v>
          </cell>
          <cell r="L118">
            <v>630000</v>
          </cell>
        </row>
        <row r="119">
          <cell r="B119">
            <v>2</v>
          </cell>
          <cell r="D119" t="str">
            <v>Pas. Kusen Pintu dan Jendela kayu klas II</v>
          </cell>
          <cell r="H119" t="str">
            <v>F.27(a)</v>
          </cell>
          <cell r="I119">
            <v>0.55000000000000004</v>
          </cell>
          <cell r="J119" t="str">
            <v>M3</v>
          </cell>
          <cell r="K119">
            <v>3620138</v>
          </cell>
          <cell r="L119">
            <v>1991075.9</v>
          </cell>
        </row>
        <row r="120">
          <cell r="B120">
            <v>3</v>
          </cell>
          <cell r="D120" t="str">
            <v>Pas. Daun Jendela Kayu Kls II Kaca Bening 5 mm</v>
          </cell>
          <cell r="H120" t="str">
            <v>F.36(d)</v>
          </cell>
          <cell r="I120">
            <v>13.738</v>
          </cell>
          <cell r="J120" t="str">
            <v>M2</v>
          </cell>
          <cell r="K120">
            <v>435778</v>
          </cell>
          <cell r="L120">
            <v>5986718.1600000001</v>
          </cell>
        </row>
        <row r="121">
          <cell r="B121">
            <v>4</v>
          </cell>
          <cell r="D121" t="str">
            <v>Pas. Daun Pintu Panel Kayu Kls II</v>
          </cell>
          <cell r="H121" t="str">
            <v>F.33.2(b)</v>
          </cell>
          <cell r="I121">
            <v>2.2000000000000002</v>
          </cell>
          <cell r="J121" t="str">
            <v>M2</v>
          </cell>
          <cell r="K121">
            <v>473575</v>
          </cell>
          <cell r="L121">
            <v>1041865</v>
          </cell>
        </row>
        <row r="122">
          <cell r="D122" t="str">
            <v>SUB TOTAL  V.D</v>
          </cell>
          <cell r="L122">
            <v>9649659.0600000005</v>
          </cell>
        </row>
        <row r="123">
          <cell r="B123" t="str">
            <v>V.E</v>
          </cell>
          <cell r="D123" t="str">
            <v>PEKERJAAN PENGECATAN</v>
          </cell>
        </row>
        <row r="124">
          <cell r="B124">
            <v>1</v>
          </cell>
          <cell r="D124" t="str">
            <v>Cat Dinding KM/WC</v>
          </cell>
          <cell r="H124" t="str">
            <v>G.53.1</v>
          </cell>
          <cell r="I124">
            <v>70.33</v>
          </cell>
          <cell r="J124" t="str">
            <v>M2</v>
          </cell>
          <cell r="K124">
            <v>7561</v>
          </cell>
          <cell r="L124">
            <v>531765.13</v>
          </cell>
        </row>
        <row r="125">
          <cell r="B125">
            <v>2</v>
          </cell>
          <cell r="D125" t="str">
            <v>Cat Listplank KM/WC</v>
          </cell>
          <cell r="H125" t="str">
            <v>Supl.IX.1</v>
          </cell>
          <cell r="I125">
            <v>1.26</v>
          </cell>
          <cell r="J125" t="str">
            <v>M2</v>
          </cell>
          <cell r="K125">
            <v>14171.75</v>
          </cell>
          <cell r="L125">
            <v>17856.41</v>
          </cell>
        </row>
        <row r="126">
          <cell r="B126">
            <v>3</v>
          </cell>
          <cell r="D126" t="str">
            <v>Cat Plafond KM/WC</v>
          </cell>
          <cell r="H126" t="str">
            <v>G.53.1</v>
          </cell>
          <cell r="I126">
            <v>17.45</v>
          </cell>
          <cell r="J126" t="str">
            <v>M2</v>
          </cell>
          <cell r="K126">
            <v>7561</v>
          </cell>
          <cell r="L126">
            <v>131939.45000000001</v>
          </cell>
        </row>
        <row r="129">
          <cell r="B129">
            <v>4</v>
          </cell>
          <cell r="D129" t="str">
            <v>Pekerjaan Dempul Kusen Pintu, Lisplank, Jendela</v>
          </cell>
          <cell r="H129" t="str">
            <v>1/2K+K30+K23</v>
          </cell>
          <cell r="I129">
            <v>20.5</v>
          </cell>
          <cell r="J129" t="str">
            <v>M2</v>
          </cell>
          <cell r="K129">
            <v>9487.5</v>
          </cell>
          <cell r="L129">
            <v>194493.75</v>
          </cell>
        </row>
        <row r="130">
          <cell r="B130">
            <v>5</v>
          </cell>
          <cell r="D130" t="str">
            <v>Pengecatan Kusen, Pintu, Listplank, &amp; jendela</v>
          </cell>
          <cell r="H130" t="str">
            <v>Supl.IX.1</v>
          </cell>
          <cell r="I130">
            <v>20.5</v>
          </cell>
          <cell r="J130" t="str">
            <v>M2</v>
          </cell>
          <cell r="K130">
            <v>14171.75</v>
          </cell>
          <cell r="L130">
            <v>290520.88</v>
          </cell>
        </row>
        <row r="131">
          <cell r="B131">
            <v>6</v>
          </cell>
          <cell r="D131" t="str">
            <v>Cat Dinding Luar Mushola</v>
          </cell>
          <cell r="H131" t="str">
            <v>G.53.1</v>
          </cell>
          <cell r="I131">
            <v>129.15</v>
          </cell>
          <cell r="J131" t="str">
            <v>M2</v>
          </cell>
          <cell r="K131">
            <v>7561</v>
          </cell>
          <cell r="L131">
            <v>976503.15</v>
          </cell>
        </row>
        <row r="132">
          <cell r="B132">
            <v>7</v>
          </cell>
          <cell r="D132" t="str">
            <v>Cat Plafond Mushola</v>
          </cell>
          <cell r="H132" t="str">
            <v>G.53.1</v>
          </cell>
          <cell r="I132">
            <v>41.16</v>
          </cell>
          <cell r="J132" t="str">
            <v>M2</v>
          </cell>
          <cell r="K132">
            <v>7561</v>
          </cell>
          <cell r="L132">
            <v>311210.76</v>
          </cell>
        </row>
        <row r="133">
          <cell r="B133">
            <v>8</v>
          </cell>
          <cell r="D133" t="str">
            <v>Cat Kusen daun pintu dan Jendela</v>
          </cell>
          <cell r="H133" t="str">
            <v>Supl.IX.1</v>
          </cell>
          <cell r="I133">
            <v>15.94</v>
          </cell>
          <cell r="J133" t="str">
            <v>M2</v>
          </cell>
          <cell r="K133">
            <v>14171.75</v>
          </cell>
          <cell r="L133">
            <v>225897.7</v>
          </cell>
        </row>
        <row r="134">
          <cell r="B134">
            <v>9</v>
          </cell>
          <cell r="D134" t="str">
            <v>Cat Listplank Mushola</v>
          </cell>
          <cell r="H134" t="str">
            <v>Supl.IX.1</v>
          </cell>
          <cell r="I134">
            <v>6.59</v>
          </cell>
          <cell r="J134" t="str">
            <v>M2</v>
          </cell>
          <cell r="K134">
            <v>14171.75</v>
          </cell>
          <cell r="L134">
            <v>93391.83</v>
          </cell>
        </row>
        <row r="135">
          <cell r="B135">
            <v>10</v>
          </cell>
          <cell r="D135" t="str">
            <v>Cat Genteng Mushola dan KM/WC</v>
          </cell>
          <cell r="H135" t="str">
            <v>G.53.2</v>
          </cell>
          <cell r="I135">
            <v>60.43</v>
          </cell>
          <cell r="J135" t="str">
            <v>M2</v>
          </cell>
          <cell r="K135">
            <v>6121</v>
          </cell>
          <cell r="L135">
            <v>369892.03</v>
          </cell>
        </row>
        <row r="136">
          <cell r="D136" t="str">
            <v>SUB TOTAL  V.E</v>
          </cell>
          <cell r="L136">
            <v>3143471.0900000008</v>
          </cell>
        </row>
        <row r="137">
          <cell r="B137" t="str">
            <v>V.F</v>
          </cell>
          <cell r="D137" t="str">
            <v>PEKERJAAN INSTALASI AIR &amp; SANITAIR</v>
          </cell>
        </row>
        <row r="138">
          <cell r="B138">
            <v>1</v>
          </cell>
          <cell r="D138" t="str">
            <v>Pas. Pipa air bersih PVC dia 1" KM/WC Terpasang</v>
          </cell>
          <cell r="H138" t="str">
            <v>Supl.BMPK.13.a</v>
          </cell>
          <cell r="I138">
            <v>10</v>
          </cell>
          <cell r="J138" t="str">
            <v>M'</v>
          </cell>
          <cell r="K138">
            <v>74612.5</v>
          </cell>
          <cell r="L138">
            <v>746125</v>
          </cell>
        </row>
        <row r="139">
          <cell r="B139">
            <v>2</v>
          </cell>
          <cell r="D139" t="str">
            <v>Pas. Pipa air limbah PVC 4"</v>
          </cell>
          <cell r="H139" t="str">
            <v>Supl.BMPK.14</v>
          </cell>
          <cell r="I139">
            <v>12.87</v>
          </cell>
          <cell r="J139" t="str">
            <v>M'</v>
          </cell>
          <cell r="K139">
            <v>76785</v>
          </cell>
          <cell r="L139">
            <v>988222.95</v>
          </cell>
        </row>
        <row r="140">
          <cell r="B140">
            <v>3</v>
          </cell>
          <cell r="D140" t="str">
            <v>Pas. Pipa air kotor PVC 4"</v>
          </cell>
          <cell r="H140" t="str">
            <v>Supl.BMPK.14</v>
          </cell>
          <cell r="I140">
            <v>1</v>
          </cell>
          <cell r="J140" t="str">
            <v>M'</v>
          </cell>
          <cell r="K140">
            <v>76785</v>
          </cell>
          <cell r="L140">
            <v>76785</v>
          </cell>
        </row>
        <row r="141">
          <cell r="B141">
            <v>4</v>
          </cell>
          <cell r="D141" t="str">
            <v>Pas. Kran air 1/2" KM/WC Lengkap</v>
          </cell>
          <cell r="H141" t="str">
            <v>Supl.BMPK.13</v>
          </cell>
          <cell r="I141">
            <v>3</v>
          </cell>
          <cell r="J141" t="str">
            <v>Unit</v>
          </cell>
          <cell r="K141">
            <v>91150</v>
          </cell>
          <cell r="L141">
            <v>273450</v>
          </cell>
        </row>
        <row r="142">
          <cell r="B142">
            <v>5</v>
          </cell>
          <cell r="D142" t="str">
            <v>Floor Drain Plastik lengkap terpasang</v>
          </cell>
          <cell r="H142" t="str">
            <v>BP</v>
          </cell>
          <cell r="I142">
            <v>3</v>
          </cell>
          <cell r="J142" t="str">
            <v>Unit</v>
          </cell>
          <cell r="K142">
            <v>48000</v>
          </cell>
          <cell r="L142">
            <v>144000</v>
          </cell>
        </row>
        <row r="143">
          <cell r="B143">
            <v>6</v>
          </cell>
          <cell r="D143" t="str">
            <v>Pas. Bak Air Fiber 80 x 80 Terpasang</v>
          </cell>
          <cell r="H143" t="str">
            <v>Supl.BMPK.10</v>
          </cell>
          <cell r="I143">
            <v>2</v>
          </cell>
          <cell r="J143" t="str">
            <v>Unit</v>
          </cell>
          <cell r="K143">
            <v>468479.07</v>
          </cell>
          <cell r="L143">
            <v>936958.14</v>
          </cell>
        </row>
        <row r="144">
          <cell r="B144">
            <v>7</v>
          </cell>
          <cell r="D144" t="str">
            <v>Pas. Urinoir Keramik lengkap Terpasang</v>
          </cell>
          <cell r="H144" t="str">
            <v>Ls</v>
          </cell>
          <cell r="I144">
            <v>2</v>
          </cell>
          <cell r="J144" t="str">
            <v>Unit</v>
          </cell>
          <cell r="K144">
            <v>1250000</v>
          </cell>
          <cell r="L144">
            <v>2500000</v>
          </cell>
        </row>
        <row r="145">
          <cell r="B145">
            <v>8</v>
          </cell>
          <cell r="D145" t="str">
            <v>Pas. Pipa air bersih PVC dia 1" terpasang</v>
          </cell>
          <cell r="H145" t="str">
            <v>Supl.BMPK.13.a</v>
          </cell>
          <cell r="I145">
            <v>10</v>
          </cell>
          <cell r="J145" t="str">
            <v>M'</v>
          </cell>
          <cell r="K145">
            <v>74612.5</v>
          </cell>
          <cell r="L145">
            <v>746125</v>
          </cell>
        </row>
        <row r="146">
          <cell r="B146">
            <v>9</v>
          </cell>
          <cell r="D146" t="str">
            <v>Pas. Kran air 1/2" Lengkap</v>
          </cell>
          <cell r="H146" t="str">
            <v>Supl.BMPK.13</v>
          </cell>
          <cell r="I146">
            <v>5</v>
          </cell>
          <cell r="J146" t="str">
            <v>Unit</v>
          </cell>
          <cell r="K146">
            <v>91150</v>
          </cell>
          <cell r="L146">
            <v>455750</v>
          </cell>
        </row>
        <row r="147">
          <cell r="B147">
            <v>10</v>
          </cell>
          <cell r="D147" t="str">
            <v>Pas. Kloset jongkok keramik lengkap terpasang</v>
          </cell>
          <cell r="H147" t="str">
            <v>Supl.BMPK.6(b)</v>
          </cell>
          <cell r="I147">
            <v>2</v>
          </cell>
          <cell r="J147" t="str">
            <v>Unit</v>
          </cell>
          <cell r="K147">
            <v>170672.34</v>
          </cell>
          <cell r="L147">
            <v>341344.68</v>
          </cell>
        </row>
        <row r="148">
          <cell r="B148">
            <v>11</v>
          </cell>
          <cell r="D148" t="str">
            <v>Pas. Septik Tank &amp; Resapan</v>
          </cell>
          <cell r="H148" t="str">
            <v>Supl.BMPK.8</v>
          </cell>
          <cell r="I148">
            <v>1</v>
          </cell>
          <cell r="J148" t="str">
            <v>Unit</v>
          </cell>
          <cell r="K148">
            <v>4834530.22</v>
          </cell>
          <cell r="L148">
            <v>4834530.22</v>
          </cell>
        </row>
        <row r="149">
          <cell r="D149" t="str">
            <v>SUB TOTAL  V.F</v>
          </cell>
          <cell r="L149">
            <v>12043290.989999998</v>
          </cell>
        </row>
        <row r="150">
          <cell r="B150" t="str">
            <v>V.G</v>
          </cell>
          <cell r="D150" t="str">
            <v>PEKERJAAN KUNCI DAN PENGGANTUNG</v>
          </cell>
        </row>
        <row r="151">
          <cell r="B151">
            <v>1</v>
          </cell>
          <cell r="D151" t="str">
            <v>Pas. Engsel pintu @ 3 bh</v>
          </cell>
          <cell r="H151" t="str">
            <v>Supl.BMPK.2(a)</v>
          </cell>
          <cell r="I151">
            <v>6</v>
          </cell>
          <cell r="J151" t="str">
            <v>bh</v>
          </cell>
          <cell r="K151">
            <v>8266</v>
          </cell>
          <cell r="L151">
            <v>49596</v>
          </cell>
        </row>
        <row r="152">
          <cell r="B152">
            <v>2</v>
          </cell>
          <cell r="D152" t="str">
            <v>Pas. Grendel jendela @ 2 bh</v>
          </cell>
          <cell r="H152" t="str">
            <v>Supl.BMPK.5(a)</v>
          </cell>
          <cell r="I152">
            <v>24</v>
          </cell>
          <cell r="J152" t="str">
            <v>bh</v>
          </cell>
          <cell r="K152">
            <v>6566</v>
          </cell>
          <cell r="L152">
            <v>157584</v>
          </cell>
        </row>
        <row r="153">
          <cell r="B153">
            <v>3</v>
          </cell>
          <cell r="D153" t="str">
            <v>Pas. Grendel pintu</v>
          </cell>
          <cell r="H153" t="str">
            <v>Supl.BMPK.5(a)</v>
          </cell>
          <cell r="I153">
            <v>2</v>
          </cell>
          <cell r="J153" t="str">
            <v>bh</v>
          </cell>
          <cell r="K153">
            <v>6566</v>
          </cell>
          <cell r="L153">
            <v>13132</v>
          </cell>
        </row>
        <row r="154">
          <cell r="B154">
            <v>4</v>
          </cell>
          <cell r="D154" t="str">
            <v>Pas. Hak angin @ 2 bh</v>
          </cell>
          <cell r="H154" t="str">
            <v>Supl.BMPK.4</v>
          </cell>
          <cell r="I154">
            <v>24</v>
          </cell>
          <cell r="J154" t="str">
            <v>bh</v>
          </cell>
          <cell r="K154">
            <v>4066</v>
          </cell>
          <cell r="L154">
            <v>97584</v>
          </cell>
        </row>
        <row r="155">
          <cell r="B155">
            <v>5</v>
          </cell>
          <cell r="D155" t="str">
            <v>Pas. Engsel jendela @ 2 bh</v>
          </cell>
          <cell r="H155" t="str">
            <v>Supl.BMPK.2(a)</v>
          </cell>
          <cell r="I155">
            <v>24</v>
          </cell>
          <cell r="J155" t="str">
            <v>bh</v>
          </cell>
          <cell r="K155">
            <v>8266</v>
          </cell>
          <cell r="L155">
            <v>198384</v>
          </cell>
        </row>
        <row r="156">
          <cell r="B156">
            <v>6</v>
          </cell>
          <cell r="D156" t="str">
            <v>Pas. Tarikan jendela @ 1 bh</v>
          </cell>
          <cell r="H156" t="str">
            <v>Supl.BMPK.3(a)</v>
          </cell>
          <cell r="I156">
            <v>12</v>
          </cell>
          <cell r="J156" t="str">
            <v>bh</v>
          </cell>
          <cell r="K156">
            <v>11066</v>
          </cell>
          <cell r="L156">
            <v>132792</v>
          </cell>
        </row>
        <row r="157">
          <cell r="B157">
            <v>7</v>
          </cell>
          <cell r="D157" t="str">
            <v>Pas. Kunci Tanam 2 Slag kw baik</v>
          </cell>
          <cell r="H157" t="str">
            <v>Supl.BMPK.1(b)</v>
          </cell>
          <cell r="I157">
            <v>1</v>
          </cell>
          <cell r="J157" t="str">
            <v>Unit</v>
          </cell>
          <cell r="K157">
            <v>60000</v>
          </cell>
          <cell r="L157">
            <v>60000</v>
          </cell>
        </row>
        <row r="158">
          <cell r="D158" t="str">
            <v>SUB TOTAL  V.G</v>
          </cell>
          <cell r="L158">
            <v>709072</v>
          </cell>
        </row>
        <row r="159">
          <cell r="B159" t="str">
            <v>V.H</v>
          </cell>
          <cell r="D159" t="str">
            <v>PEKERJAAN INSTALASI LISTRIK</v>
          </cell>
        </row>
        <row r="160">
          <cell r="B160">
            <v>1</v>
          </cell>
          <cell r="D160" t="str">
            <v>Pas. Fitting Down Light</v>
          </cell>
          <cell r="H160" t="str">
            <v>ls</v>
          </cell>
          <cell r="I160">
            <v>8</v>
          </cell>
          <cell r="J160" t="str">
            <v>ttk</v>
          </cell>
          <cell r="K160">
            <v>35000</v>
          </cell>
          <cell r="L160">
            <v>280000</v>
          </cell>
        </row>
        <row r="161">
          <cell r="B161">
            <v>2</v>
          </cell>
          <cell r="D161" t="str">
            <v>Pas. Lampu pijar 40 Watt terpasang</v>
          </cell>
          <cell r="H161" t="str">
            <v>BP</v>
          </cell>
          <cell r="I161">
            <v>1</v>
          </cell>
          <cell r="J161" t="str">
            <v>ttk</v>
          </cell>
          <cell r="K161">
            <v>45000</v>
          </cell>
          <cell r="L161">
            <v>45000</v>
          </cell>
        </row>
        <row r="162">
          <cell r="B162">
            <v>3</v>
          </cell>
          <cell r="D162" t="str">
            <v>Pas. Lampu pijar 15 Watt terpasang Mushola</v>
          </cell>
          <cell r="H162" t="str">
            <v>BP</v>
          </cell>
          <cell r="I162">
            <v>12</v>
          </cell>
          <cell r="J162" t="str">
            <v>ttk</v>
          </cell>
          <cell r="K162">
            <v>45000</v>
          </cell>
          <cell r="L162">
            <v>540000</v>
          </cell>
        </row>
        <row r="163">
          <cell r="B163">
            <v>4</v>
          </cell>
          <cell r="D163" t="str">
            <v>Pas. Lampu pijar 15 Watt terpasang KM/WC</v>
          </cell>
          <cell r="H163" t="str">
            <v>BP</v>
          </cell>
          <cell r="I163">
            <v>5</v>
          </cell>
          <cell r="J163" t="str">
            <v>ttk</v>
          </cell>
          <cell r="K163">
            <v>45000</v>
          </cell>
          <cell r="L163">
            <v>225000</v>
          </cell>
        </row>
        <row r="164">
          <cell r="B164">
            <v>5</v>
          </cell>
          <cell r="D164" t="str">
            <v>Pas. Saklar Ganda Dobel Stop Kontak</v>
          </cell>
          <cell r="H164" t="str">
            <v>ls</v>
          </cell>
          <cell r="I164">
            <v>1</v>
          </cell>
          <cell r="J164" t="str">
            <v>bh</v>
          </cell>
          <cell r="K164">
            <v>15000</v>
          </cell>
          <cell r="L164">
            <v>15000</v>
          </cell>
        </row>
        <row r="165">
          <cell r="B165">
            <v>6</v>
          </cell>
          <cell r="D165" t="str">
            <v>Pas. Stop Kontak</v>
          </cell>
          <cell r="H165" t="str">
            <v>ls</v>
          </cell>
          <cell r="I165">
            <v>1</v>
          </cell>
          <cell r="J165" t="str">
            <v>bh</v>
          </cell>
          <cell r="K165">
            <v>15000</v>
          </cell>
          <cell r="L165">
            <v>15000</v>
          </cell>
        </row>
        <row r="166">
          <cell r="B166">
            <v>7</v>
          </cell>
          <cell r="D166" t="str">
            <v>Pas. Titiik Lampu dll</v>
          </cell>
          <cell r="H166" t="str">
            <v>ls</v>
          </cell>
          <cell r="I166">
            <v>20</v>
          </cell>
          <cell r="J166" t="str">
            <v>ttk</v>
          </cell>
          <cell r="K166">
            <v>140000</v>
          </cell>
          <cell r="L166">
            <v>2800000</v>
          </cell>
        </row>
        <row r="167">
          <cell r="D167" t="str">
            <v>SUB TOTAL  V.H</v>
          </cell>
          <cell r="L167">
            <v>3920000</v>
          </cell>
        </row>
        <row r="168">
          <cell r="L168">
            <v>58922266.980000012</v>
          </cell>
        </row>
        <row r="169">
          <cell r="B169" t="str">
            <v>VI</v>
          </cell>
          <cell r="D169" t="str">
            <v>PEKERJAAN PEMBUANGAN SISA PEKERJAAN</v>
          </cell>
        </row>
        <row r="170">
          <cell r="B170">
            <v>1</v>
          </cell>
          <cell r="D170" t="str">
            <v>Pembuangan Sisa Pekerjaan</v>
          </cell>
          <cell r="H170" t="str">
            <v>Ls</v>
          </cell>
          <cell r="I170">
            <v>1</v>
          </cell>
          <cell r="J170" t="str">
            <v>Unit</v>
          </cell>
          <cell r="K170">
            <v>1000000</v>
          </cell>
          <cell r="L170">
            <v>1000000</v>
          </cell>
        </row>
        <row r="171">
          <cell r="D171" t="str">
            <v>SUB TOTAL  VI</v>
          </cell>
          <cell r="L171">
            <v>1000000</v>
          </cell>
        </row>
        <row r="172">
          <cell r="D172" t="str">
            <v>JUMLAH</v>
          </cell>
          <cell r="L172">
            <v>144750720.41</v>
          </cell>
        </row>
        <row r="173">
          <cell r="D173" t="str">
            <v>PPN (10% X A)</v>
          </cell>
          <cell r="L173">
            <v>14475072.041000001</v>
          </cell>
        </row>
        <row r="174">
          <cell r="D174" t="str">
            <v>JUMLAH  (A+B)</v>
          </cell>
          <cell r="L174">
            <v>159225792.45100001</v>
          </cell>
        </row>
        <row r="175">
          <cell r="D175" t="str">
            <v>JUMLAH DIBULATKAN</v>
          </cell>
          <cell r="L175">
            <v>159225000</v>
          </cell>
        </row>
        <row r="176">
          <cell r="N176" t="str">
            <v>REKAPITULASI RENCANA ANGGARAN BIAYA</v>
          </cell>
        </row>
        <row r="177">
          <cell r="N177" t="str">
            <v>OWNER'S ESTIMATE</v>
          </cell>
        </row>
        <row r="179">
          <cell r="N179" t="str">
            <v>Kegiatan</v>
          </cell>
          <cell r="O179" t="str">
            <v>:</v>
          </cell>
          <cell r="P179" t="str">
            <v>Pembangunan / Pemagaran Gedung Kantor, Gedung Sekolah</v>
          </cell>
        </row>
        <row r="180">
          <cell r="N180" t="str">
            <v>Pekerjaan</v>
          </cell>
          <cell r="O180" t="str">
            <v>:</v>
          </cell>
          <cell r="P180" t="str">
            <v>Pemagaran Kantor Kejaksaan Negeri Bandar Lampung</v>
          </cell>
        </row>
        <row r="181">
          <cell r="N181" t="str">
            <v>Lokasi</v>
          </cell>
          <cell r="O181" t="str">
            <v>:</v>
          </cell>
          <cell r="P181" t="str">
            <v>Kota Bandar Lampung</v>
          </cell>
        </row>
        <row r="182">
          <cell r="N182" t="str">
            <v>Tahun Anggaran</v>
          </cell>
          <cell r="O182" t="str">
            <v>:</v>
          </cell>
          <cell r="P182" t="str">
            <v>2006</v>
          </cell>
        </row>
        <row r="184">
          <cell r="N184" t="str">
            <v>NO.</v>
          </cell>
          <cell r="O184" t="str">
            <v>URAIAN  PEKERJAAN</v>
          </cell>
          <cell r="U184" t="str">
            <v>TOTAL</v>
          </cell>
        </row>
        <row r="185">
          <cell r="U185" t="str">
            <v>HARGA</v>
          </cell>
        </row>
        <row r="186">
          <cell r="U186" t="str">
            <v>(Rp)</v>
          </cell>
        </row>
        <row r="187">
          <cell r="N187" t="str">
            <v>I</v>
          </cell>
          <cell r="P187" t="str">
            <v>PEKERJAAN PERSIAPAN</v>
          </cell>
          <cell r="U187">
            <v>5974434.2000000002</v>
          </cell>
        </row>
        <row r="188">
          <cell r="N188" t="str">
            <v>II</v>
          </cell>
          <cell r="P188" t="str">
            <v>REHAB PAGAR SAMPING KIRI BANGUNAN</v>
          </cell>
          <cell r="U188">
            <v>15414583.209999997</v>
          </cell>
        </row>
        <row r="189">
          <cell r="N189" t="str">
            <v>III</v>
          </cell>
          <cell r="P189" t="str">
            <v>REHAB PAGAR BELAKANG</v>
          </cell>
          <cell r="U189">
            <v>33751449.739999995</v>
          </cell>
        </row>
        <row r="190">
          <cell r="N190" t="str">
            <v>IV</v>
          </cell>
          <cell r="P190" t="str">
            <v>PEMBANGUNAN TUGU PINTU GERBANG</v>
          </cell>
          <cell r="U190">
            <v>29687986.279999997</v>
          </cell>
        </row>
        <row r="191">
          <cell r="N191" t="str">
            <v>V</v>
          </cell>
          <cell r="P191" t="str">
            <v>REHAB MUSHOLA DAN KM/WC</v>
          </cell>
          <cell r="U191">
            <v>58922266.980000012</v>
          </cell>
        </row>
        <row r="192">
          <cell r="P192" t="str">
            <v>V.A</v>
          </cell>
          <cell r="Q192" t="str">
            <v>PEKERJAAN BONGKARAN</v>
          </cell>
          <cell r="R192" t="str">
            <v>=</v>
          </cell>
          <cell r="S192">
            <v>1066450.3400000001</v>
          </cell>
        </row>
        <row r="193">
          <cell r="P193" t="str">
            <v>V.B</v>
          </cell>
          <cell r="Q193" t="str">
            <v>PEKERJAAN GALIAN DAN TANAH</v>
          </cell>
          <cell r="R193" t="str">
            <v>=</v>
          </cell>
          <cell r="S193">
            <v>204534.63</v>
          </cell>
        </row>
        <row r="194">
          <cell r="P194" t="str">
            <v>V.C</v>
          </cell>
          <cell r="Q194" t="str">
            <v>PEKERJAAN PASANGAN</v>
          </cell>
          <cell r="R194" t="str">
            <v>=</v>
          </cell>
          <cell r="S194">
            <v>28185788.870000005</v>
          </cell>
        </row>
        <row r="195">
          <cell r="P195" t="str">
            <v>V.D</v>
          </cell>
          <cell r="Q195" t="str">
            <v>PEK. KUSEN &amp; DAUN PINTU</v>
          </cell>
          <cell r="R195" t="str">
            <v>=</v>
          </cell>
          <cell r="S195">
            <v>9649659.0600000005</v>
          </cell>
        </row>
        <row r="196">
          <cell r="P196" t="str">
            <v>V.E</v>
          </cell>
          <cell r="Q196" t="str">
            <v>PEKERJAAN PENGECATAN</v>
          </cell>
          <cell r="R196" t="str">
            <v>=</v>
          </cell>
          <cell r="S196">
            <v>3143471.0900000008</v>
          </cell>
        </row>
        <row r="197">
          <cell r="P197" t="str">
            <v>V.F</v>
          </cell>
          <cell r="Q197" t="str">
            <v>PEKERJAAN INSTALASI AIR &amp; SANITAIR</v>
          </cell>
          <cell r="R197" t="str">
            <v>=</v>
          </cell>
          <cell r="S197">
            <v>12043290.989999998</v>
          </cell>
        </row>
        <row r="198">
          <cell r="P198" t="str">
            <v>V.G</v>
          </cell>
          <cell r="Q198" t="str">
            <v>PEKERJAAN KUNCI DAN PENGGANTUNG</v>
          </cell>
          <cell r="R198" t="str">
            <v>=</v>
          </cell>
          <cell r="S198">
            <v>709072</v>
          </cell>
        </row>
        <row r="199">
          <cell r="P199" t="str">
            <v>V.H</v>
          </cell>
          <cell r="Q199" t="str">
            <v>PEKERJAAN INSTALASI LISTRIK</v>
          </cell>
          <cell r="R199" t="str">
            <v>=</v>
          </cell>
          <cell r="S199">
            <v>3920000</v>
          </cell>
        </row>
        <row r="200">
          <cell r="N200" t="str">
            <v>VI</v>
          </cell>
          <cell r="P200" t="str">
            <v>PEKERJAAN PEMBUANGAN SISA PEKERJAAN</v>
          </cell>
          <cell r="U200">
            <v>1000000</v>
          </cell>
        </row>
        <row r="201">
          <cell r="P201" t="str">
            <v>JUMLAH ( I  s/d.  VI)</v>
          </cell>
          <cell r="U201">
            <v>144750720.41</v>
          </cell>
        </row>
        <row r="202">
          <cell r="P202" t="str">
            <v>PPN 10%</v>
          </cell>
          <cell r="U202">
            <v>14475072.041000001</v>
          </cell>
        </row>
        <row r="203">
          <cell r="P203" t="str">
            <v>TOTAL</v>
          </cell>
          <cell r="U203">
            <v>159225792.45100001</v>
          </cell>
        </row>
        <row r="204">
          <cell r="P204" t="str">
            <v>DIBULATKAN</v>
          </cell>
          <cell r="U204">
            <v>159225000</v>
          </cell>
        </row>
        <row r="206">
          <cell r="N206" t="str">
            <v>Terbilang</v>
          </cell>
          <cell r="O206" t="str">
            <v>:</v>
          </cell>
          <cell r="P206" t="str">
            <v>Seratus Lima Puluh Sembilan Juta Dua Ratus Dua Puluh Lima Ribu Rupiah</v>
          </cell>
        </row>
        <row r="209">
          <cell r="R209" t="str">
            <v>Bandar Lampung, .................2006</v>
          </cell>
        </row>
        <row r="210">
          <cell r="N210" t="str">
            <v>Disetujui</v>
          </cell>
        </row>
        <row r="211">
          <cell r="N211" t="str">
            <v>Pejabat Pembuat Komitmen/Pimpinan Kegiatan</v>
          </cell>
          <cell r="R211" t="str">
            <v>PANITIA PELELANGAN</v>
          </cell>
        </row>
        <row r="217">
          <cell r="N217" t="str">
            <v>A  Z  W  A  R,ST</v>
          </cell>
          <cell r="R217" t="str">
            <v>FAISOL MUCHTAR,ST</v>
          </cell>
        </row>
        <row r="218">
          <cell r="N218" t="str">
            <v>NIP.460020553</v>
          </cell>
          <cell r="R218" t="str">
            <v>NIP. 460021411</v>
          </cell>
        </row>
      </sheetData>
      <sheetData sheetId="16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Koramil Telukbetung Barat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72</v>
          </cell>
          <cell r="J13" t="str">
            <v>M2</v>
          </cell>
          <cell r="K13">
            <v>3560</v>
          </cell>
          <cell r="L13">
            <v>256320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25</v>
          </cell>
          <cell r="J14" t="str">
            <v>M1</v>
          </cell>
          <cell r="K14">
            <v>26077.06</v>
          </cell>
          <cell r="L14">
            <v>651926.5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250000</v>
          </cell>
          <cell r="L15">
            <v>250000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200000</v>
          </cell>
          <cell r="L16">
            <v>200000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300000</v>
          </cell>
          <cell r="L17">
            <v>300000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500000</v>
          </cell>
          <cell r="L18">
            <v>500000</v>
          </cell>
        </row>
        <row r="19">
          <cell r="D19" t="str">
            <v>SUB TOTAL  I</v>
          </cell>
          <cell r="L19">
            <v>2158246.5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13.05</v>
          </cell>
          <cell r="J21" t="str">
            <v>M3</v>
          </cell>
          <cell r="K21">
            <v>19775</v>
          </cell>
          <cell r="L21">
            <v>258063.75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3.2629999999999999</v>
          </cell>
          <cell r="J22" t="str">
            <v>M3</v>
          </cell>
          <cell r="K22">
            <v>6660</v>
          </cell>
          <cell r="L22">
            <v>21731.58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0.75</v>
          </cell>
          <cell r="J23" t="str">
            <v>M3</v>
          </cell>
          <cell r="K23">
            <v>146691.20000000001</v>
          </cell>
          <cell r="L23">
            <v>110018.4</v>
          </cell>
        </row>
        <row r="24">
          <cell r="D24" t="str">
            <v>SUB TOTAL  II</v>
          </cell>
          <cell r="L24">
            <v>389813.73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8.6999999999999993</v>
          </cell>
          <cell r="J26" t="str">
            <v>M3</v>
          </cell>
          <cell r="K26">
            <v>527127.02</v>
          </cell>
          <cell r="L26">
            <v>4586005.07</v>
          </cell>
        </row>
        <row r="27">
          <cell r="B27">
            <v>2</v>
          </cell>
          <cell r="D27" t="str">
            <v>Pasang Buis Beton Dia 60 L=1 M</v>
          </cell>
          <cell r="H27" t="str">
            <v>Ls</v>
          </cell>
          <cell r="I27">
            <v>11</v>
          </cell>
          <cell r="J27" t="str">
            <v>Unit</v>
          </cell>
          <cell r="K27">
            <v>60000</v>
          </cell>
          <cell r="L27">
            <v>660000</v>
          </cell>
        </row>
        <row r="28">
          <cell r="B28">
            <v>3</v>
          </cell>
          <cell r="D28" t="str">
            <v>Pasang Cerucuk @ = 2 M</v>
          </cell>
          <cell r="H28" t="str">
            <v>Ls</v>
          </cell>
          <cell r="I28">
            <v>60</v>
          </cell>
          <cell r="J28" t="str">
            <v>Btg</v>
          </cell>
          <cell r="K28">
            <v>10000</v>
          </cell>
          <cell r="L28">
            <v>600000</v>
          </cell>
        </row>
        <row r="29">
          <cell r="B29">
            <v>4</v>
          </cell>
          <cell r="D29" t="str">
            <v>Cor Beton Cyclop Adk. 1:3:5</v>
          </cell>
          <cell r="H29" t="str">
            <v>G.44</v>
          </cell>
          <cell r="I29">
            <v>3.08</v>
          </cell>
          <cell r="J29" t="str">
            <v>M3</v>
          </cell>
          <cell r="K29">
            <v>612956.9</v>
          </cell>
          <cell r="L29">
            <v>1887907.25</v>
          </cell>
        </row>
        <row r="30">
          <cell r="B30">
            <v>5</v>
          </cell>
          <cell r="D30" t="str">
            <v>Timbunan Tanah</v>
          </cell>
          <cell r="H30" t="str">
            <v>A.7</v>
          </cell>
          <cell r="I30">
            <v>67.5</v>
          </cell>
          <cell r="J30" t="str">
            <v>M3</v>
          </cell>
          <cell r="K30">
            <v>15320</v>
          </cell>
          <cell r="L30">
            <v>1034100</v>
          </cell>
        </row>
        <row r="31">
          <cell r="B31">
            <v>6</v>
          </cell>
          <cell r="D31" t="str">
            <v>Pas. Sloof 15/25</v>
          </cell>
          <cell r="H31" t="str">
            <v>G.41+3/4 I.2(a)+1/2 F.8</v>
          </cell>
          <cell r="I31">
            <v>2.8130000000000002</v>
          </cell>
          <cell r="J31" t="str">
            <v>M3</v>
          </cell>
          <cell r="K31">
            <v>2649475.14</v>
          </cell>
          <cell r="L31">
            <v>7452973.5700000003</v>
          </cell>
        </row>
        <row r="32">
          <cell r="B32">
            <v>7</v>
          </cell>
          <cell r="D32" t="str">
            <v>Pas. Kolom Praktis12/12 (iap 3 M)</v>
          </cell>
          <cell r="H32" t="str">
            <v>G.41+3/4 I.2(a)+1/2 F.8</v>
          </cell>
          <cell r="I32">
            <v>0.30199999999999999</v>
          </cell>
          <cell r="J32" t="str">
            <v>M3</v>
          </cell>
          <cell r="K32">
            <v>2649475.14</v>
          </cell>
          <cell r="L32">
            <v>800141.49</v>
          </cell>
        </row>
        <row r="33">
          <cell r="B33">
            <v>8</v>
          </cell>
          <cell r="D33" t="str">
            <v>Pas. Kolom 25/25</v>
          </cell>
          <cell r="H33" t="str">
            <v>G.41+3/4 I.2(a)+1/2 F.8</v>
          </cell>
          <cell r="I33">
            <v>1.3129999999999999</v>
          </cell>
          <cell r="J33" t="str">
            <v>M3</v>
          </cell>
          <cell r="K33">
            <v>2649475.14</v>
          </cell>
          <cell r="L33">
            <v>3478760.86</v>
          </cell>
        </row>
        <row r="34">
          <cell r="B34">
            <v>9</v>
          </cell>
          <cell r="D34" t="str">
            <v>Pas. Dinding Bata adk 1:4</v>
          </cell>
          <cell r="H34" t="str">
            <v>G.33h+G.32a</v>
          </cell>
          <cell r="I34">
            <v>6.48</v>
          </cell>
          <cell r="J34" t="str">
            <v>M3</v>
          </cell>
          <cell r="K34">
            <v>383258.81</v>
          </cell>
          <cell r="L34">
            <v>2483517.09</v>
          </cell>
        </row>
        <row r="35">
          <cell r="B35">
            <v>10</v>
          </cell>
          <cell r="D35" t="str">
            <v>Plesteran Dinding adk 1: 4</v>
          </cell>
          <cell r="H35" t="str">
            <v>G.50q+G.48</v>
          </cell>
          <cell r="I35">
            <v>151.47499999999999</v>
          </cell>
          <cell r="J35" t="str">
            <v>M2</v>
          </cell>
          <cell r="K35">
            <v>19133.61</v>
          </cell>
          <cell r="L35">
            <v>2898263.57</v>
          </cell>
        </row>
        <row r="36">
          <cell r="D36" t="str">
            <v>SUB TOTAL  III</v>
          </cell>
          <cell r="L36">
            <v>25881668.899999999</v>
          </cell>
        </row>
        <row r="37">
          <cell r="B37" t="str">
            <v>IV</v>
          </cell>
          <cell r="D37" t="str">
            <v>PEKERJAAN PAGAR/ PINTU  BESI</v>
          </cell>
        </row>
        <row r="38">
          <cell r="B38">
            <v>1</v>
          </cell>
          <cell r="D38" t="str">
            <v>Pagar Besi</v>
          </cell>
          <cell r="H38" t="str">
            <v>Supl.BMPK.17A</v>
          </cell>
          <cell r="I38">
            <v>33</v>
          </cell>
          <cell r="J38" t="str">
            <v>M2</v>
          </cell>
          <cell r="K38">
            <v>249511.5</v>
          </cell>
          <cell r="L38">
            <v>8233879.5</v>
          </cell>
        </row>
        <row r="39">
          <cell r="B39">
            <v>2</v>
          </cell>
          <cell r="D39" t="str">
            <v>Pintu Besi Dorong</v>
          </cell>
          <cell r="H39" t="str">
            <v>Supl.BMPK.17</v>
          </cell>
          <cell r="I39">
            <v>7.5</v>
          </cell>
          <cell r="J39" t="str">
            <v>M2</v>
          </cell>
          <cell r="K39">
            <v>340533.33</v>
          </cell>
          <cell r="L39">
            <v>2553999.98</v>
          </cell>
        </row>
        <row r="40">
          <cell r="B40">
            <v>3</v>
          </cell>
          <cell r="D40" t="str">
            <v>Pasang Roda Pintu Dorong</v>
          </cell>
          <cell r="H40" t="str">
            <v>Ls</v>
          </cell>
          <cell r="I40">
            <v>2</v>
          </cell>
          <cell r="J40" t="str">
            <v>Bh</v>
          </cell>
          <cell r="K40">
            <v>15000</v>
          </cell>
          <cell r="L40">
            <v>30000</v>
          </cell>
        </row>
        <row r="41">
          <cell r="B41">
            <v>4</v>
          </cell>
          <cell r="D41" t="str">
            <v>Pasang Rell Pintu Dorong Lengkap</v>
          </cell>
          <cell r="H41" t="str">
            <v>Supl.BMPK.17C</v>
          </cell>
          <cell r="I41">
            <v>11</v>
          </cell>
          <cell r="J41" t="str">
            <v>M'</v>
          </cell>
          <cell r="K41">
            <v>77302.52</v>
          </cell>
          <cell r="L41">
            <v>850327.72</v>
          </cell>
        </row>
        <row r="42">
          <cell r="B42">
            <v>5</v>
          </cell>
          <cell r="D42" t="str">
            <v>Pasang Grendel Pintu Besi</v>
          </cell>
          <cell r="H42" t="str">
            <v>Ls</v>
          </cell>
          <cell r="I42">
            <v>1</v>
          </cell>
          <cell r="J42" t="str">
            <v>Set</v>
          </cell>
          <cell r="K42">
            <v>15000</v>
          </cell>
          <cell r="L42">
            <v>15000</v>
          </cell>
        </row>
        <row r="43">
          <cell r="D43" t="str">
            <v>SUB TOTAL  IV</v>
          </cell>
          <cell r="L43">
            <v>11683207.200000001</v>
          </cell>
        </row>
        <row r="44">
          <cell r="B44" t="str">
            <v>V</v>
          </cell>
          <cell r="D44" t="str">
            <v>PEKERJAAN PEMBUANGAN SISA PEKERJAAN</v>
          </cell>
        </row>
        <row r="45">
          <cell r="B45">
            <v>1</v>
          </cell>
          <cell r="D45" t="str">
            <v>Pembuangan Sisa Pekerjaan</v>
          </cell>
          <cell r="H45" t="str">
            <v>Ls</v>
          </cell>
          <cell r="I45">
            <v>1</v>
          </cell>
          <cell r="J45" t="str">
            <v>Ls</v>
          </cell>
          <cell r="K45">
            <v>200000</v>
          </cell>
          <cell r="L45">
            <v>200000</v>
          </cell>
        </row>
        <row r="46">
          <cell r="D46" t="str">
            <v>SUB TOTAL  V</v>
          </cell>
          <cell r="L46">
            <v>200000</v>
          </cell>
        </row>
        <row r="47">
          <cell r="D47" t="str">
            <v>JUMLAH</v>
          </cell>
          <cell r="L47">
            <v>40312936.329999998</v>
          </cell>
        </row>
        <row r="48">
          <cell r="D48" t="str">
            <v>PPN (10% X A)</v>
          </cell>
          <cell r="L48">
            <v>4031293.6329999999</v>
          </cell>
        </row>
        <row r="49">
          <cell r="D49" t="str">
            <v>JUMLAH  (A+B)</v>
          </cell>
          <cell r="L49">
            <v>44344229.963</v>
          </cell>
        </row>
        <row r="50">
          <cell r="D50" t="str">
            <v>JUMLAH DIBULATKAN</v>
          </cell>
          <cell r="L50">
            <v>44344000</v>
          </cell>
        </row>
        <row r="51">
          <cell r="N51" t="str">
            <v>REKAPITULASI RENCANA ANGGARAN BIAYA</v>
          </cell>
        </row>
        <row r="52">
          <cell r="N52" t="str">
            <v>OWNER'S ESTIMATE</v>
          </cell>
        </row>
        <row r="54">
          <cell r="N54" t="str">
            <v>Kegiatan</v>
          </cell>
          <cell r="O54" t="str">
            <v>:</v>
          </cell>
          <cell r="P54" t="str">
            <v>Pembangunan / Pemagaran Gedung Kantor, Gedung Sekolah</v>
          </cell>
        </row>
        <row r="55">
          <cell r="N55" t="str">
            <v>Pekerjaan</v>
          </cell>
          <cell r="O55" t="str">
            <v>:</v>
          </cell>
          <cell r="P55" t="str">
            <v>Pemagaran Kantor Koramil Telukbetung Barat</v>
          </cell>
        </row>
        <row r="56">
          <cell r="N56" t="str">
            <v>Lokasi</v>
          </cell>
          <cell r="O56" t="str">
            <v>:</v>
          </cell>
          <cell r="P56" t="str">
            <v>Kota Bandar Lampung</v>
          </cell>
        </row>
        <row r="57">
          <cell r="N57" t="str">
            <v>Tahun Anggaran</v>
          </cell>
          <cell r="O57" t="str">
            <v>:</v>
          </cell>
          <cell r="P57" t="str">
            <v>2006</v>
          </cell>
        </row>
        <row r="59">
          <cell r="N59" t="str">
            <v>NO.</v>
          </cell>
          <cell r="O59" t="str">
            <v>URAIAN  PEKERJAAN</v>
          </cell>
          <cell r="U59" t="str">
            <v>TOTAL</v>
          </cell>
        </row>
        <row r="60">
          <cell r="U60" t="str">
            <v>HARGA</v>
          </cell>
        </row>
        <row r="61">
          <cell r="U61" t="str">
            <v>(Rp)</v>
          </cell>
        </row>
        <row r="62">
          <cell r="N62" t="str">
            <v>I</v>
          </cell>
          <cell r="P62" t="str">
            <v>PEKERJAAN PERSIAPAN</v>
          </cell>
          <cell r="U62">
            <v>2158246.5</v>
          </cell>
        </row>
        <row r="63">
          <cell r="N63" t="str">
            <v>II</v>
          </cell>
          <cell r="P63" t="str">
            <v>PEKERJAAN GALIAN DAN TANAH</v>
          </cell>
          <cell r="U63">
            <v>389813.73</v>
          </cell>
        </row>
        <row r="64">
          <cell r="N64" t="str">
            <v>III</v>
          </cell>
          <cell r="P64" t="str">
            <v>PEKERJAAN PASANGAN DAN BETON</v>
          </cell>
          <cell r="U64">
            <v>25881668.899999999</v>
          </cell>
        </row>
        <row r="65">
          <cell r="N65" t="str">
            <v>IV</v>
          </cell>
          <cell r="P65" t="str">
            <v>PEKERJAAN PAGAR/ PINTU  BESI</v>
          </cell>
          <cell r="U65">
            <v>11683207.200000001</v>
          </cell>
        </row>
        <row r="66">
          <cell r="N66" t="str">
            <v>V</v>
          </cell>
          <cell r="P66" t="str">
            <v>PEKERJAAN PEMBUANGAN SISA PEKERJAAN</v>
          </cell>
          <cell r="U66">
            <v>200000</v>
          </cell>
        </row>
        <row r="67">
          <cell r="P67" t="str">
            <v>JUMLAH ( I  s/d.  V)</v>
          </cell>
          <cell r="U67">
            <v>40312936.329999998</v>
          </cell>
        </row>
        <row r="68">
          <cell r="P68" t="str">
            <v>PPN 10%</v>
          </cell>
          <cell r="U68">
            <v>4031293.6329999999</v>
          </cell>
        </row>
        <row r="69">
          <cell r="P69" t="str">
            <v>TOTAL</v>
          </cell>
          <cell r="U69">
            <v>44344229.963</v>
          </cell>
        </row>
        <row r="70">
          <cell r="P70" t="str">
            <v>DIBULATKAN</v>
          </cell>
          <cell r="U70">
            <v>44344000</v>
          </cell>
        </row>
        <row r="72">
          <cell r="N72" t="str">
            <v>Terbilang</v>
          </cell>
          <cell r="O72" t="str">
            <v>:</v>
          </cell>
          <cell r="P72" t="str">
            <v>Empat Puluh Empat Juta Tiga Ratus Empat Puluh Empat Ribu Rupiah</v>
          </cell>
        </row>
        <row r="75">
          <cell r="R75" t="str">
            <v>Bandar Lampung, .................2006</v>
          </cell>
        </row>
        <row r="76">
          <cell r="N76" t="str">
            <v>Disetujui</v>
          </cell>
        </row>
        <row r="77">
          <cell r="N77" t="str">
            <v>Pejabat Pembuat Komitmen/Pimpinan Kegiatan</v>
          </cell>
          <cell r="R77" t="str">
            <v>PANITIA PELELANGAN</v>
          </cell>
        </row>
        <row r="83">
          <cell r="N83" t="str">
            <v>A  Z  W  A  R,ST</v>
          </cell>
          <cell r="R83" t="str">
            <v>FAISOL MUCHTAR,ST</v>
          </cell>
        </row>
        <row r="84">
          <cell r="N84" t="str">
            <v>NIP.460020553</v>
          </cell>
          <cell r="R84" t="str">
            <v>NIP. 460021411</v>
          </cell>
        </row>
      </sheetData>
      <sheetData sheetId="17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dan Pemasangan Paving Block halaman Kantor Kecamatan Tanjung Seneng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PENDAHULUAN</v>
          </cell>
        </row>
        <row r="13">
          <cell r="B13">
            <v>1</v>
          </cell>
          <cell r="D13" t="str">
            <v>Sewa Direksikeet</v>
          </cell>
          <cell r="H13" t="str">
            <v>Ls</v>
          </cell>
          <cell r="I13">
            <v>1</v>
          </cell>
          <cell r="J13" t="str">
            <v>Unit</v>
          </cell>
          <cell r="K13">
            <v>750000</v>
          </cell>
          <cell r="L13">
            <v>750000</v>
          </cell>
        </row>
        <row r="14">
          <cell r="B14">
            <v>2</v>
          </cell>
          <cell r="D14" t="str">
            <v>Pembersihan lapangan</v>
          </cell>
          <cell r="H14" t="str">
            <v>SNI-T-01-1991.1.5</v>
          </cell>
          <cell r="I14">
            <v>517</v>
          </cell>
          <cell r="J14" t="str">
            <v>M2</v>
          </cell>
          <cell r="K14">
            <v>3560</v>
          </cell>
          <cell r="L14">
            <v>1840520</v>
          </cell>
        </row>
        <row r="15">
          <cell r="B15">
            <v>3</v>
          </cell>
          <cell r="D15" t="str">
            <v>Pasang papan Nama Proyek</v>
          </cell>
          <cell r="H15" t="str">
            <v>Ls</v>
          </cell>
          <cell r="I15">
            <v>1</v>
          </cell>
          <cell r="J15" t="str">
            <v>Unit</v>
          </cell>
          <cell r="K15">
            <v>250000</v>
          </cell>
          <cell r="L15">
            <v>250000</v>
          </cell>
        </row>
        <row r="16">
          <cell r="B16">
            <v>4</v>
          </cell>
          <cell r="D16" t="str">
            <v>Biaya obat-obatan P 3 K</v>
          </cell>
          <cell r="H16" t="str">
            <v>Ls</v>
          </cell>
          <cell r="I16">
            <v>1</v>
          </cell>
          <cell r="J16" t="str">
            <v>Unit</v>
          </cell>
          <cell r="K16">
            <v>200000</v>
          </cell>
          <cell r="L16">
            <v>200000</v>
          </cell>
        </row>
        <row r="17">
          <cell r="B17">
            <v>5</v>
          </cell>
          <cell r="D17" t="str">
            <v>Foto Dokumentasi  0%, 50%,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300000</v>
          </cell>
          <cell r="L17">
            <v>300000</v>
          </cell>
        </row>
        <row r="18">
          <cell r="B18">
            <v>6</v>
          </cell>
          <cell r="D18" t="str">
            <v>Mobilisasi</v>
          </cell>
          <cell r="H18" t="str">
            <v>Ls</v>
          </cell>
          <cell r="I18">
            <v>1</v>
          </cell>
          <cell r="J18" t="str">
            <v>Unit</v>
          </cell>
          <cell r="K18">
            <v>500000</v>
          </cell>
          <cell r="L18">
            <v>500000</v>
          </cell>
        </row>
        <row r="19">
          <cell r="D19" t="str">
            <v>SUB TOTAL  I</v>
          </cell>
          <cell r="L19">
            <v>3840520</v>
          </cell>
        </row>
        <row r="21">
          <cell r="B21" t="str">
            <v>II</v>
          </cell>
          <cell r="D21" t="str">
            <v>PEKERJAAN  PERSIAPAN</v>
          </cell>
        </row>
        <row r="22">
          <cell r="B22">
            <v>1</v>
          </cell>
          <cell r="D22" t="str">
            <v>Galian tanah  pondasi</v>
          </cell>
          <cell r="H22" t="str">
            <v>A.1</v>
          </cell>
          <cell r="I22">
            <v>44.469000000000001</v>
          </cell>
          <cell r="J22" t="str">
            <v>M3</v>
          </cell>
          <cell r="K22">
            <v>19775</v>
          </cell>
          <cell r="L22">
            <v>879374.48</v>
          </cell>
        </row>
        <row r="23">
          <cell r="B23">
            <v>2</v>
          </cell>
          <cell r="D23" t="str">
            <v>Urugan tanah kembali</v>
          </cell>
          <cell r="H23" t="str">
            <v>A.16</v>
          </cell>
          <cell r="I23">
            <v>6.9</v>
          </cell>
          <cell r="J23" t="str">
            <v>M3</v>
          </cell>
          <cell r="K23">
            <v>6660</v>
          </cell>
          <cell r="L23">
            <v>45954</v>
          </cell>
        </row>
        <row r="24">
          <cell r="B24">
            <v>3</v>
          </cell>
          <cell r="D24" t="str">
            <v>Timbunan pasir bawah pondasi menerus &amp; lantai</v>
          </cell>
          <cell r="H24" t="str">
            <v>A.18</v>
          </cell>
          <cell r="I24">
            <v>3.45</v>
          </cell>
          <cell r="J24" t="str">
            <v>M3</v>
          </cell>
          <cell r="K24">
            <v>146691.20000000001</v>
          </cell>
          <cell r="L24">
            <v>506084.64</v>
          </cell>
        </row>
        <row r="25">
          <cell r="D25" t="str">
            <v>SUB TOTAL  II</v>
          </cell>
          <cell r="L25">
            <v>1431413.12</v>
          </cell>
        </row>
        <row r="27">
          <cell r="B27" t="str">
            <v>III</v>
          </cell>
          <cell r="D27" t="str">
            <v>PEKERJAAN BATU DAN BETON</v>
          </cell>
        </row>
        <row r="28">
          <cell r="B28">
            <v>1</v>
          </cell>
          <cell r="D28" t="str">
            <v>Pasang Batu Kosong /Aamstamping</v>
          </cell>
          <cell r="H28" t="str">
            <v>G.2</v>
          </cell>
          <cell r="I28">
            <v>6.2110000000000003</v>
          </cell>
          <cell r="J28" t="str">
            <v>M3</v>
          </cell>
          <cell r="K28">
            <v>222591</v>
          </cell>
          <cell r="L28">
            <v>1382512.7</v>
          </cell>
        </row>
        <row r="29">
          <cell r="B29">
            <v>2</v>
          </cell>
          <cell r="D29" t="str">
            <v>Pasang Pondasi Batu Belah putih, Adk 1 : 4</v>
          </cell>
          <cell r="H29" t="str">
            <v>G.32h+G.26(b)</v>
          </cell>
          <cell r="I29">
            <v>26.495999999999999</v>
          </cell>
          <cell r="J29" t="str">
            <v>M3</v>
          </cell>
          <cell r="K29">
            <v>503127.02</v>
          </cell>
          <cell r="L29">
            <v>13330853.52</v>
          </cell>
        </row>
        <row r="30">
          <cell r="B30">
            <v>3</v>
          </cell>
          <cell r="D30" t="str">
            <v>Pasang Sloof 10/10, Beton Bertulang</v>
          </cell>
          <cell r="H30" t="str">
            <v>G.41</v>
          </cell>
          <cell r="I30">
            <v>1.38</v>
          </cell>
          <cell r="J30" t="str">
            <v>M3</v>
          </cell>
          <cell r="K30">
            <v>701589.14</v>
          </cell>
          <cell r="L30">
            <v>968193.01</v>
          </cell>
        </row>
        <row r="31">
          <cell r="B31">
            <v>4</v>
          </cell>
          <cell r="D31" t="str">
            <v>Pasang Kolom 10/10 Beton Bertulang</v>
          </cell>
          <cell r="H31" t="str">
            <v>G.41</v>
          </cell>
          <cell r="I31">
            <v>0.55200000000000005</v>
          </cell>
          <cell r="J31" t="str">
            <v>M3</v>
          </cell>
          <cell r="K31">
            <v>701589.14</v>
          </cell>
          <cell r="L31">
            <v>387277.21</v>
          </cell>
        </row>
        <row r="32">
          <cell r="B32">
            <v>5</v>
          </cell>
          <cell r="D32" t="str">
            <v>Pembesian untuk beton</v>
          </cell>
          <cell r="H32" t="str">
            <v>3/4 I.2(a)</v>
          </cell>
          <cell r="I32">
            <v>1.9319999999999999</v>
          </cell>
          <cell r="J32" t="str">
            <v>M3</v>
          </cell>
          <cell r="K32">
            <v>1446446</v>
          </cell>
          <cell r="L32">
            <v>2794533.67</v>
          </cell>
        </row>
        <row r="33">
          <cell r="D33" t="str">
            <v>SUB TOTAL  III</v>
          </cell>
          <cell r="L33">
            <v>18863370.109999999</v>
          </cell>
        </row>
        <row r="35">
          <cell r="B35" t="str">
            <v>IV</v>
          </cell>
          <cell r="D35" t="str">
            <v>PEKERJAAN PASANGAN</v>
          </cell>
        </row>
        <row r="36">
          <cell r="B36">
            <v>1</v>
          </cell>
          <cell r="D36" t="str">
            <v>Pasangan paving blok UNI untuk halaman parkir</v>
          </cell>
          <cell r="H36" t="str">
            <v>G.60.1(a)</v>
          </cell>
          <cell r="I36">
            <v>517</v>
          </cell>
          <cell r="J36" t="str">
            <v>M2</v>
          </cell>
          <cell r="K36">
            <v>78015.100000000006</v>
          </cell>
          <cell r="L36">
            <v>40333806.700000003</v>
          </cell>
        </row>
        <row r="37">
          <cell r="B37">
            <v>2</v>
          </cell>
          <cell r="D37" t="str">
            <v>Pasangan kanstin</v>
          </cell>
          <cell r="H37" t="str">
            <v>Supl.IX.3</v>
          </cell>
          <cell r="I37">
            <v>235</v>
          </cell>
          <cell r="J37" t="str">
            <v>M1</v>
          </cell>
          <cell r="K37">
            <v>31775.54</v>
          </cell>
          <cell r="L37">
            <v>7467251.9000000004</v>
          </cell>
        </row>
        <row r="38">
          <cell r="B38">
            <v>3</v>
          </cell>
          <cell r="D38" t="str">
            <v>Pasangan Batu muka pagar depan</v>
          </cell>
          <cell r="H38" t="str">
            <v>G.32m</v>
          </cell>
          <cell r="I38">
            <v>4.68</v>
          </cell>
          <cell r="J38" t="str">
            <v>M2</v>
          </cell>
          <cell r="K38">
            <v>54447.040000000001</v>
          </cell>
          <cell r="L38">
            <v>254812.15</v>
          </cell>
        </row>
        <row r="39">
          <cell r="B39">
            <v>4</v>
          </cell>
          <cell r="D39" t="str">
            <v>Profil semen pagar depan</v>
          </cell>
          <cell r="H39" t="str">
            <v>Supl.38</v>
          </cell>
          <cell r="I39">
            <v>46.8</v>
          </cell>
          <cell r="J39" t="str">
            <v>M1</v>
          </cell>
          <cell r="K39">
            <v>75102.25</v>
          </cell>
          <cell r="L39">
            <v>3514785.3</v>
          </cell>
        </row>
        <row r="40">
          <cell r="B40">
            <v>5</v>
          </cell>
          <cell r="D40" t="str">
            <v>Pasangan dinding bata adk.1:4</v>
          </cell>
          <cell r="H40" t="str">
            <v>G.33h+G.32a</v>
          </cell>
          <cell r="I40">
            <v>7.8029999999999999</v>
          </cell>
          <cell r="J40" t="str">
            <v>M3</v>
          </cell>
          <cell r="K40">
            <v>383258.81</v>
          </cell>
          <cell r="L40">
            <v>2990568.49</v>
          </cell>
        </row>
        <row r="41">
          <cell r="B41">
            <v>6</v>
          </cell>
          <cell r="D41" t="str">
            <v>Pasangan Plesteran adk.1:4</v>
          </cell>
          <cell r="H41" t="str">
            <v>G.50q+G.48</v>
          </cell>
          <cell r="I41">
            <v>156.06</v>
          </cell>
          <cell r="J41" t="str">
            <v>M2</v>
          </cell>
          <cell r="K41">
            <v>19133.61</v>
          </cell>
          <cell r="L41">
            <v>2985991.18</v>
          </cell>
        </row>
        <row r="42">
          <cell r="D42" t="str">
            <v>SUB TOTAL  IV</v>
          </cell>
          <cell r="L42">
            <v>57547215.719999999</v>
          </cell>
        </row>
        <row r="44">
          <cell r="B44" t="str">
            <v>V</v>
          </cell>
          <cell r="D44" t="str">
            <v>PEKERJAAN KAYU / PINTU DAN JENDELA</v>
          </cell>
        </row>
        <row r="45">
          <cell r="B45">
            <v>1</v>
          </cell>
          <cell r="D45" t="str">
            <v>Pek. Pintu Pagar</v>
          </cell>
          <cell r="H45" t="str">
            <v>Supl.BMPK.17</v>
          </cell>
          <cell r="I45">
            <v>7.15</v>
          </cell>
          <cell r="J45" t="str">
            <v>M2</v>
          </cell>
          <cell r="K45">
            <v>340533.33</v>
          </cell>
          <cell r="L45">
            <v>2434813.31</v>
          </cell>
        </row>
        <row r="46">
          <cell r="B46">
            <v>2</v>
          </cell>
          <cell r="D46" t="str">
            <v>Pek. Pagar BRC 6 mm</v>
          </cell>
          <cell r="H46" t="str">
            <v>dihitung</v>
          </cell>
          <cell r="I46">
            <v>64.8</v>
          </cell>
          <cell r="J46" t="str">
            <v>M2</v>
          </cell>
          <cell r="K46">
            <v>95000</v>
          </cell>
          <cell r="L46">
            <v>6156000</v>
          </cell>
        </row>
        <row r="47">
          <cell r="D47" t="str">
            <v>SUB TOTAL  V</v>
          </cell>
          <cell r="L47">
            <v>8590813.3100000005</v>
          </cell>
        </row>
        <row r="49">
          <cell r="B49" t="str">
            <v>VI</v>
          </cell>
          <cell r="D49" t="str">
            <v>PEKERJAAN  PENGECETAN</v>
          </cell>
        </row>
        <row r="50">
          <cell r="B50">
            <v>1</v>
          </cell>
          <cell r="D50" t="str">
            <v>Cat Dinding tembok</v>
          </cell>
          <cell r="H50" t="str">
            <v>G.53.1</v>
          </cell>
          <cell r="I50">
            <v>156.06</v>
          </cell>
          <cell r="J50" t="str">
            <v>M2</v>
          </cell>
          <cell r="K50">
            <v>7561</v>
          </cell>
          <cell r="L50">
            <v>1179969.6599999999</v>
          </cell>
        </row>
        <row r="51">
          <cell r="D51" t="str">
            <v>SUB TOTAL  VI</v>
          </cell>
          <cell r="L51">
            <v>1179969.6599999999</v>
          </cell>
        </row>
        <row r="52">
          <cell r="D52" t="str">
            <v>JUMLAH</v>
          </cell>
          <cell r="L52">
            <v>91453301.920000002</v>
          </cell>
        </row>
        <row r="53">
          <cell r="D53" t="str">
            <v>PPN (10% X A)</v>
          </cell>
          <cell r="L53">
            <v>9145330.1919999998</v>
          </cell>
        </row>
        <row r="54">
          <cell r="D54" t="str">
            <v>JUMLAH  (A+B)</v>
          </cell>
          <cell r="L54">
            <v>100598632.112</v>
          </cell>
        </row>
        <row r="55">
          <cell r="D55" t="str">
            <v>JUMLAH DIBULATKAN</v>
          </cell>
          <cell r="L55">
            <v>100598000</v>
          </cell>
        </row>
        <row r="56">
          <cell r="N56" t="str">
            <v>REKAPITULASI RENCANA ANGGARAN BIAYA</v>
          </cell>
        </row>
        <row r="57">
          <cell r="N57" t="str">
            <v>OWNER'S ESTIMATE</v>
          </cell>
        </row>
        <row r="59">
          <cell r="N59" t="str">
            <v>Kegiatan</v>
          </cell>
          <cell r="O59" t="str">
            <v>:</v>
          </cell>
          <cell r="P59" t="str">
            <v>Pembangunan / Pemagaran Gedung Kantor, Gedung Sekolah</v>
          </cell>
        </row>
        <row r="60">
          <cell r="N60" t="str">
            <v>Pekerjaan</v>
          </cell>
          <cell r="O60" t="str">
            <v>:</v>
          </cell>
          <cell r="P60" t="str">
            <v>Pemagaran dan Pemasangan Paving Block halaman Kantor Kecamatan Tanjung Seneng</v>
          </cell>
        </row>
        <row r="61">
          <cell r="N61" t="str">
            <v>Lokasi</v>
          </cell>
          <cell r="O61" t="str">
            <v>:</v>
          </cell>
          <cell r="P61" t="str">
            <v>Kota Bandar Lampung</v>
          </cell>
        </row>
        <row r="62">
          <cell r="N62" t="str">
            <v>Tahun Anggaran</v>
          </cell>
          <cell r="O62" t="str">
            <v>:</v>
          </cell>
          <cell r="P62" t="str">
            <v>2006</v>
          </cell>
        </row>
        <row r="64">
          <cell r="N64" t="str">
            <v>NO.</v>
          </cell>
          <cell r="O64" t="str">
            <v>URAIAN  PEKERJAAN</v>
          </cell>
          <cell r="U64" t="str">
            <v>TOTAL</v>
          </cell>
        </row>
        <row r="65">
          <cell r="U65" t="str">
            <v>HARGA</v>
          </cell>
        </row>
        <row r="66">
          <cell r="U66" t="str">
            <v>(Rp)</v>
          </cell>
        </row>
        <row r="67">
          <cell r="N67" t="str">
            <v>I</v>
          </cell>
          <cell r="P67" t="str">
            <v>PEKERJAAN PENDAHULUAN</v>
          </cell>
          <cell r="U67">
            <v>3840520</v>
          </cell>
        </row>
        <row r="68">
          <cell r="N68" t="str">
            <v>II</v>
          </cell>
          <cell r="P68" t="str">
            <v>PEKERJAAN  PERSIAPAN</v>
          </cell>
          <cell r="U68">
            <v>1431413.12</v>
          </cell>
        </row>
        <row r="69">
          <cell r="N69" t="str">
            <v>III</v>
          </cell>
          <cell r="P69" t="str">
            <v>PEKERJAAN BATU DAN BETON</v>
          </cell>
          <cell r="U69">
            <v>18863370.109999999</v>
          </cell>
        </row>
        <row r="70">
          <cell r="N70" t="str">
            <v>IV</v>
          </cell>
          <cell r="P70" t="str">
            <v>PEKERJAAN PASANGAN</v>
          </cell>
          <cell r="U70">
            <v>57547215.719999999</v>
          </cell>
        </row>
        <row r="71">
          <cell r="N71" t="str">
            <v>V</v>
          </cell>
          <cell r="P71" t="str">
            <v>PEKERJAAN KAYU / PINTU DAN JENDELA</v>
          </cell>
          <cell r="U71">
            <v>8590813.3100000005</v>
          </cell>
        </row>
        <row r="72">
          <cell r="N72" t="str">
            <v>VI</v>
          </cell>
          <cell r="P72" t="str">
            <v>PEKERJAAN  PENGECETAN</v>
          </cell>
          <cell r="U72">
            <v>1179969.6599999999</v>
          </cell>
        </row>
        <row r="73">
          <cell r="P73" t="str">
            <v>JUMLAH ( I  s/d.  VI)</v>
          </cell>
          <cell r="U73">
            <v>91453301.920000002</v>
          </cell>
        </row>
        <row r="74">
          <cell r="P74" t="str">
            <v>PPN 10%</v>
          </cell>
          <cell r="U74">
            <v>9145330.1919999998</v>
          </cell>
        </row>
        <row r="75">
          <cell r="P75" t="str">
            <v>TOTAL</v>
          </cell>
          <cell r="U75">
            <v>100598632.112</v>
          </cell>
        </row>
        <row r="76">
          <cell r="P76" t="str">
            <v>DIBULATKAN</v>
          </cell>
          <cell r="U76">
            <v>100598000</v>
          </cell>
        </row>
        <row r="78">
          <cell r="N78" t="str">
            <v>Terbilang</v>
          </cell>
          <cell r="O78" t="str">
            <v>:</v>
          </cell>
          <cell r="P78" t="str">
            <v>Seratus Juta Lima Ratus Sembilan Puluh Delapan Ribu Rupiah</v>
          </cell>
        </row>
        <row r="81">
          <cell r="R81" t="str">
            <v>Bandar Lampung, .................2006</v>
          </cell>
        </row>
        <row r="82">
          <cell r="N82" t="str">
            <v>Disetujui</v>
          </cell>
        </row>
        <row r="83">
          <cell r="N83" t="str">
            <v>Pejabat Pembuat Komitmen/Pimpinan Kegiatan</v>
          </cell>
          <cell r="R83" t="str">
            <v>PANITIA PELELANGAN</v>
          </cell>
        </row>
        <row r="89">
          <cell r="N89" t="str">
            <v>A  Z  W  A  R,ST</v>
          </cell>
          <cell r="R89" t="str">
            <v>FAISOL MUCHTAR,ST</v>
          </cell>
        </row>
        <row r="90">
          <cell r="N90" t="str">
            <v>NIP.460020553</v>
          </cell>
          <cell r="R90" t="str">
            <v>NIP. 460021411</v>
          </cell>
        </row>
      </sheetData>
      <sheetData sheetId="18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dan Pemasangan Paving Block SD Negeri 1 dan  SD Negeri 3 Palapa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PENDAHULUAN</v>
          </cell>
        </row>
        <row r="13">
          <cell r="B13">
            <v>1</v>
          </cell>
          <cell r="D13" t="str">
            <v>Sewa Direksikeet</v>
          </cell>
          <cell r="H13" t="str">
            <v>Ls</v>
          </cell>
          <cell r="I13">
            <v>1</v>
          </cell>
          <cell r="J13" t="str">
            <v>Unit</v>
          </cell>
          <cell r="K13">
            <v>950000</v>
          </cell>
          <cell r="L13">
            <v>950000</v>
          </cell>
        </row>
        <row r="14">
          <cell r="B14">
            <v>2</v>
          </cell>
          <cell r="D14" t="str">
            <v>Pengukuran</v>
          </cell>
          <cell r="H14" t="str">
            <v>SNI-T-01-1991.1.6</v>
          </cell>
          <cell r="I14">
            <v>85.5</v>
          </cell>
          <cell r="J14" t="str">
            <v>M1</v>
          </cell>
          <cell r="K14">
            <v>26077.06</v>
          </cell>
          <cell r="L14">
            <v>2229588.63</v>
          </cell>
        </row>
        <row r="15">
          <cell r="B15">
            <v>3</v>
          </cell>
          <cell r="D15" t="str">
            <v>Pembersihan lokasi pekerjaan</v>
          </cell>
          <cell r="H15" t="str">
            <v>SNI-T-01-1991.1.5</v>
          </cell>
          <cell r="I15">
            <v>300</v>
          </cell>
          <cell r="J15" t="str">
            <v>M2</v>
          </cell>
          <cell r="K15">
            <v>3560</v>
          </cell>
          <cell r="L15">
            <v>1068000</v>
          </cell>
        </row>
        <row r="16">
          <cell r="B16">
            <v>4</v>
          </cell>
          <cell r="D16" t="str">
            <v>Pasang papan Nama Proyek</v>
          </cell>
          <cell r="H16" t="str">
            <v>Ls</v>
          </cell>
          <cell r="I16">
            <v>1</v>
          </cell>
          <cell r="J16" t="str">
            <v>Unit</v>
          </cell>
          <cell r="K16">
            <v>250000</v>
          </cell>
          <cell r="L16">
            <v>250000</v>
          </cell>
        </row>
        <row r="17">
          <cell r="B17">
            <v>5</v>
          </cell>
          <cell r="D17" t="str">
            <v>Biaya obat-obatan P 3 K</v>
          </cell>
          <cell r="H17" t="str">
            <v>Ls</v>
          </cell>
          <cell r="I17">
            <v>1</v>
          </cell>
          <cell r="J17" t="str">
            <v>Unit</v>
          </cell>
          <cell r="K17">
            <v>200000</v>
          </cell>
          <cell r="L17">
            <v>200000</v>
          </cell>
        </row>
        <row r="18">
          <cell r="B18">
            <v>6</v>
          </cell>
          <cell r="D18" t="str">
            <v>Foto Dokumentasi  0%, 50%, 100%</v>
          </cell>
          <cell r="H18" t="str">
            <v>Ls</v>
          </cell>
          <cell r="I18">
            <v>1</v>
          </cell>
          <cell r="J18" t="str">
            <v>Unit</v>
          </cell>
          <cell r="K18">
            <v>365000</v>
          </cell>
          <cell r="L18">
            <v>365000</v>
          </cell>
        </row>
        <row r="19">
          <cell r="B19">
            <v>7</v>
          </cell>
          <cell r="D19" t="str">
            <v>Mobilisasi</v>
          </cell>
          <cell r="H19" t="str">
            <v>Ls</v>
          </cell>
          <cell r="I19">
            <v>1</v>
          </cell>
          <cell r="J19" t="str">
            <v>Unit</v>
          </cell>
          <cell r="K19">
            <v>650000</v>
          </cell>
          <cell r="L19">
            <v>650000</v>
          </cell>
        </row>
        <row r="20">
          <cell r="D20" t="str">
            <v>SUB TOTAL  I</v>
          </cell>
          <cell r="L20">
            <v>5712588.6299999999</v>
          </cell>
        </row>
        <row r="22">
          <cell r="B22" t="str">
            <v>II</v>
          </cell>
          <cell r="D22" t="str">
            <v>PEKERJAAN  PERSIAPAN</v>
          </cell>
        </row>
        <row r="23">
          <cell r="B23">
            <v>1</v>
          </cell>
          <cell r="D23" t="str">
            <v>Bongkaran tembok</v>
          </cell>
          <cell r="H23" t="str">
            <v>L.3</v>
          </cell>
          <cell r="I23">
            <v>18.806000000000001</v>
          </cell>
          <cell r="J23" t="str">
            <v>M3</v>
          </cell>
          <cell r="K23">
            <v>116400</v>
          </cell>
          <cell r="L23">
            <v>2189018.4</v>
          </cell>
        </row>
        <row r="24">
          <cell r="B24">
            <v>2</v>
          </cell>
          <cell r="D24" t="str">
            <v>Galian tanah  pondasi</v>
          </cell>
          <cell r="H24" t="str">
            <v>A.1</v>
          </cell>
          <cell r="I24">
            <v>43.424999999999997</v>
          </cell>
          <cell r="J24" t="str">
            <v>M3</v>
          </cell>
          <cell r="K24">
            <v>19775</v>
          </cell>
          <cell r="L24">
            <v>858729.38</v>
          </cell>
        </row>
        <row r="25">
          <cell r="B25">
            <v>3</v>
          </cell>
          <cell r="D25" t="str">
            <v>Urugan tanah kembali</v>
          </cell>
          <cell r="H25" t="str">
            <v>A.16</v>
          </cell>
          <cell r="I25">
            <v>8.6850000000000005</v>
          </cell>
          <cell r="J25" t="str">
            <v>M3</v>
          </cell>
          <cell r="K25">
            <v>6660</v>
          </cell>
          <cell r="L25">
            <v>57842.1</v>
          </cell>
        </row>
        <row r="26">
          <cell r="B26">
            <v>4</v>
          </cell>
          <cell r="D26" t="str">
            <v>Timbunan pasir bawah pondasi menerus &amp; lantai</v>
          </cell>
          <cell r="H26" t="str">
            <v>A.18</v>
          </cell>
          <cell r="I26">
            <v>2.895</v>
          </cell>
          <cell r="J26" t="str">
            <v>M3</v>
          </cell>
          <cell r="K26">
            <v>146691.20000000001</v>
          </cell>
          <cell r="L26">
            <v>424671.02</v>
          </cell>
        </row>
        <row r="27">
          <cell r="D27" t="str">
            <v>SUB TOTAL  II</v>
          </cell>
          <cell r="L27">
            <v>3530260.9</v>
          </cell>
        </row>
        <row r="29">
          <cell r="B29" t="str">
            <v>III</v>
          </cell>
          <cell r="D29" t="str">
            <v>PEKERJAAN BATU DAN BETON</v>
          </cell>
        </row>
        <row r="30">
          <cell r="B30">
            <v>1</v>
          </cell>
          <cell r="D30" t="str">
            <v>Pasang Batu Kosong /Aamstamping</v>
          </cell>
          <cell r="H30" t="str">
            <v>G.2</v>
          </cell>
          <cell r="I30">
            <v>5.79</v>
          </cell>
          <cell r="J30" t="str">
            <v>M3</v>
          </cell>
          <cell r="K30">
            <v>222591</v>
          </cell>
          <cell r="L30">
            <v>1288801.8899999999</v>
          </cell>
        </row>
        <row r="31">
          <cell r="B31">
            <v>2</v>
          </cell>
          <cell r="D31" t="str">
            <v>Pasang pondasi batu belah putih Adk 1 : 3</v>
          </cell>
          <cell r="H31" t="str">
            <v>G.32h+G.26(b)</v>
          </cell>
          <cell r="I31">
            <v>26.055</v>
          </cell>
          <cell r="J31" t="str">
            <v>M3</v>
          </cell>
          <cell r="K31">
            <v>503127.02</v>
          </cell>
          <cell r="L31">
            <v>13108974.51</v>
          </cell>
        </row>
        <row r="32">
          <cell r="B32">
            <v>3</v>
          </cell>
          <cell r="D32" t="str">
            <v>Pasangan sloof`12/20, beton bertulang</v>
          </cell>
          <cell r="H32" t="str">
            <v>G.41</v>
          </cell>
          <cell r="I32">
            <v>2.3159999999999998</v>
          </cell>
          <cell r="J32" t="str">
            <v>M3</v>
          </cell>
          <cell r="K32">
            <v>701589.14</v>
          </cell>
          <cell r="L32">
            <v>1624880.45</v>
          </cell>
        </row>
        <row r="33">
          <cell r="B33">
            <v>4</v>
          </cell>
          <cell r="D33" t="str">
            <v>Pasangan kolom 15/20 beton bertulang</v>
          </cell>
          <cell r="H33" t="str">
            <v>G.41</v>
          </cell>
          <cell r="I33">
            <v>1.3859999999999999</v>
          </cell>
          <cell r="J33" t="str">
            <v>M3</v>
          </cell>
          <cell r="K33">
            <v>701589.14</v>
          </cell>
          <cell r="L33">
            <v>972402.55</v>
          </cell>
        </row>
        <row r="34">
          <cell r="B34">
            <v>5</v>
          </cell>
          <cell r="D34" t="str">
            <v>Pembesian untuk beton</v>
          </cell>
          <cell r="H34" t="str">
            <v>3/4 I.2(a)</v>
          </cell>
          <cell r="I34">
            <v>3.702</v>
          </cell>
          <cell r="J34" t="str">
            <v>M3</v>
          </cell>
          <cell r="K34">
            <v>1446446</v>
          </cell>
          <cell r="L34">
            <v>5354743.09</v>
          </cell>
        </row>
        <row r="35">
          <cell r="B35">
            <v>6</v>
          </cell>
          <cell r="D35" t="str">
            <v>Pek. Profil semen</v>
          </cell>
          <cell r="H35" t="str">
            <v>Supl.38</v>
          </cell>
          <cell r="I35">
            <v>98.7</v>
          </cell>
          <cell r="J35" t="str">
            <v>M3</v>
          </cell>
          <cell r="K35">
            <v>75102.25</v>
          </cell>
          <cell r="L35">
            <v>7412592.0800000001</v>
          </cell>
        </row>
        <row r="36">
          <cell r="D36" t="str">
            <v>SUB TOTAL  III</v>
          </cell>
          <cell r="L36">
            <v>29762394.57</v>
          </cell>
        </row>
        <row r="38">
          <cell r="B38" t="str">
            <v>IV</v>
          </cell>
          <cell r="D38" t="str">
            <v>PEKERJAAN PASANGAN</v>
          </cell>
        </row>
        <row r="39">
          <cell r="B39">
            <v>1</v>
          </cell>
          <cell r="D39" t="str">
            <v>Pasangan Pavong Block</v>
          </cell>
          <cell r="H39" t="str">
            <v>G.60.1(b)</v>
          </cell>
          <cell r="I39">
            <v>475.75</v>
          </cell>
          <cell r="J39" t="str">
            <v>M2</v>
          </cell>
          <cell r="K39">
            <v>56815.1</v>
          </cell>
          <cell r="L39">
            <v>27029783.829999998</v>
          </cell>
        </row>
        <row r="40">
          <cell r="B40">
            <v>2</v>
          </cell>
          <cell r="D40" t="str">
            <v>Pasangan kanstin</v>
          </cell>
          <cell r="H40" t="str">
            <v>Supl.IX.3</v>
          </cell>
          <cell r="I40">
            <v>146.5</v>
          </cell>
          <cell r="J40" t="str">
            <v>M1</v>
          </cell>
          <cell r="K40">
            <v>31775.54</v>
          </cell>
          <cell r="L40">
            <v>4655116.6100000003</v>
          </cell>
        </row>
        <row r="41">
          <cell r="B41">
            <v>3</v>
          </cell>
          <cell r="D41" t="str">
            <v>Pasangan dinding bata adk.1:4</v>
          </cell>
          <cell r="G41" t="str">
            <v/>
          </cell>
          <cell r="H41" t="str">
            <v>G.33h+G.32a</v>
          </cell>
          <cell r="I41">
            <v>8.3625000000000007</v>
          </cell>
          <cell r="J41" t="str">
            <v>M3</v>
          </cell>
          <cell r="K41">
            <v>383258.81</v>
          </cell>
          <cell r="L41">
            <v>3205001.8</v>
          </cell>
        </row>
        <row r="42">
          <cell r="B42">
            <v>4</v>
          </cell>
          <cell r="D42" t="str">
            <v>Pasangan Plesteran adk.1:4</v>
          </cell>
          <cell r="H42" t="str">
            <v>G.50q+G.48</v>
          </cell>
          <cell r="I42">
            <v>167.25</v>
          </cell>
          <cell r="J42" t="str">
            <v>M2</v>
          </cell>
          <cell r="K42">
            <v>19133.61</v>
          </cell>
          <cell r="L42">
            <v>3200096.27</v>
          </cell>
        </row>
        <row r="43">
          <cell r="D43" t="str">
            <v>SUB TOTAL  IV</v>
          </cell>
          <cell r="L43">
            <v>38089998.509999998</v>
          </cell>
        </row>
        <row r="45">
          <cell r="B45" t="str">
            <v>V</v>
          </cell>
          <cell r="D45" t="str">
            <v>PEKERJAAN KAYU / PINTU DAN JENDELA</v>
          </cell>
        </row>
        <row r="46">
          <cell r="B46">
            <v>1</v>
          </cell>
          <cell r="D46" t="str">
            <v>Pasangan Pagar Pipa Besi</v>
          </cell>
          <cell r="H46" t="str">
            <v>dihitung</v>
          </cell>
          <cell r="I46">
            <v>35.325000000000003</v>
          </cell>
          <cell r="J46" t="str">
            <v>M2</v>
          </cell>
          <cell r="K46">
            <v>300000</v>
          </cell>
          <cell r="L46">
            <v>10597500</v>
          </cell>
        </row>
        <row r="47">
          <cell r="B47">
            <v>2</v>
          </cell>
          <cell r="D47" t="str">
            <v>Pasangan Pintu Pagar</v>
          </cell>
          <cell r="H47" t="str">
            <v>Supl.BMPK.17</v>
          </cell>
          <cell r="I47">
            <v>7.15</v>
          </cell>
          <cell r="J47" t="str">
            <v>M2</v>
          </cell>
          <cell r="K47">
            <v>340533.33</v>
          </cell>
          <cell r="L47">
            <v>2434813.31</v>
          </cell>
        </row>
        <row r="48">
          <cell r="D48" t="str">
            <v>SUB TOTAL  V</v>
          </cell>
          <cell r="L48">
            <v>13032313.310000001</v>
          </cell>
        </row>
        <row r="50">
          <cell r="B50" t="str">
            <v>VI</v>
          </cell>
          <cell r="D50" t="str">
            <v>PEKERJAAN  PENGECETAN</v>
          </cell>
        </row>
        <row r="51">
          <cell r="B51">
            <v>1</v>
          </cell>
          <cell r="D51" t="str">
            <v>Cat Pagar</v>
          </cell>
          <cell r="H51" t="str">
            <v>Supl.IX.2</v>
          </cell>
          <cell r="I51">
            <v>121.03574280000001</v>
          </cell>
          <cell r="J51" t="str">
            <v>M2</v>
          </cell>
          <cell r="K51">
            <v>16798.75</v>
          </cell>
          <cell r="L51">
            <v>2033249.18</v>
          </cell>
        </row>
        <row r="52">
          <cell r="B52">
            <v>2</v>
          </cell>
          <cell r="D52" t="str">
            <v>Cat Dinding tembok</v>
          </cell>
          <cell r="H52" t="str">
            <v>G.53.1</v>
          </cell>
          <cell r="I52">
            <v>167.25</v>
          </cell>
          <cell r="J52" t="str">
            <v>M2</v>
          </cell>
          <cell r="K52">
            <v>7561</v>
          </cell>
          <cell r="L52">
            <v>1264577.25</v>
          </cell>
        </row>
        <row r="53">
          <cell r="D53" t="str">
            <v>SUB TOTAL  VI</v>
          </cell>
          <cell r="L53">
            <v>3297826.4299999997</v>
          </cell>
        </row>
        <row r="54">
          <cell r="D54" t="str">
            <v>JUMLAH</v>
          </cell>
          <cell r="L54">
            <v>93425382.349999994</v>
          </cell>
        </row>
        <row r="55">
          <cell r="D55" t="str">
            <v>PPN (10% X A)</v>
          </cell>
          <cell r="L55">
            <v>9342538.2349999994</v>
          </cell>
        </row>
        <row r="56">
          <cell r="D56" t="str">
            <v>JUMLAH  (A+B)</v>
          </cell>
          <cell r="L56">
            <v>102767920.58499999</v>
          </cell>
        </row>
        <row r="57">
          <cell r="D57" t="str">
            <v>JUMLAH DIBULATKAN</v>
          </cell>
          <cell r="L57">
            <v>102767000</v>
          </cell>
        </row>
        <row r="58">
          <cell r="N58" t="str">
            <v>REKAPITULASI RENCANA ANGGARAN BIAYA</v>
          </cell>
        </row>
        <row r="59">
          <cell r="N59" t="str">
            <v>OWNER'S ESTIMATE</v>
          </cell>
        </row>
        <row r="61">
          <cell r="N61" t="str">
            <v>Kegiatan</v>
          </cell>
          <cell r="O61" t="str">
            <v>:</v>
          </cell>
          <cell r="P61" t="str">
            <v>Pembangunan / Pemagaran Gedung Kantor, Gedung Sekolah</v>
          </cell>
        </row>
        <row r="62">
          <cell r="N62" t="str">
            <v>Pekerjaan</v>
          </cell>
          <cell r="O62" t="str">
            <v>:</v>
          </cell>
          <cell r="P62" t="str">
            <v>Pemagaran dan Pemasangan Paving Block SD Negeri 1 dan  SD Negeri 3 Palapa</v>
          </cell>
        </row>
        <row r="63">
          <cell r="N63" t="str">
            <v>Lokasi</v>
          </cell>
          <cell r="O63" t="str">
            <v>:</v>
          </cell>
          <cell r="P63" t="str">
            <v>Kota Bandar Lampung</v>
          </cell>
        </row>
        <row r="64">
          <cell r="N64" t="str">
            <v>Tahun Anggaran</v>
          </cell>
          <cell r="O64" t="str">
            <v>:</v>
          </cell>
          <cell r="P64" t="str">
            <v>2006</v>
          </cell>
        </row>
        <row r="66">
          <cell r="N66" t="str">
            <v>NO.</v>
          </cell>
          <cell r="O66" t="str">
            <v>URAIAN  PEKERJAAN</v>
          </cell>
          <cell r="U66" t="str">
            <v>TOTAL</v>
          </cell>
        </row>
        <row r="67">
          <cell r="U67" t="str">
            <v>HARGA</v>
          </cell>
        </row>
        <row r="68">
          <cell r="U68" t="str">
            <v>(Rp)</v>
          </cell>
        </row>
        <row r="69">
          <cell r="N69" t="str">
            <v>I</v>
          </cell>
          <cell r="P69" t="str">
            <v>PEKERJAAN PENDAHULUAN</v>
          </cell>
          <cell r="U69">
            <v>5712588.6299999999</v>
          </cell>
        </row>
        <row r="70">
          <cell r="N70" t="str">
            <v>II</v>
          </cell>
          <cell r="P70" t="str">
            <v>PEKERJAAN  PERSIAPAN</v>
          </cell>
          <cell r="U70">
            <v>3530260.9</v>
          </cell>
        </row>
        <row r="71">
          <cell r="N71" t="str">
            <v>III</v>
          </cell>
          <cell r="P71" t="str">
            <v>PEKERJAAN BATU DAN BETON</v>
          </cell>
          <cell r="U71">
            <v>29762394.57</v>
          </cell>
        </row>
        <row r="72">
          <cell r="N72" t="str">
            <v>IV</v>
          </cell>
          <cell r="P72" t="str">
            <v>PEKERJAAN PASANGAN</v>
          </cell>
          <cell r="U72">
            <v>38089998.509999998</v>
          </cell>
        </row>
        <row r="73">
          <cell r="N73" t="str">
            <v>V</v>
          </cell>
          <cell r="P73" t="str">
            <v>PEKERJAAN KAYU / PINTU DAN JENDELA</v>
          </cell>
          <cell r="U73">
            <v>13032313.310000001</v>
          </cell>
        </row>
        <row r="74">
          <cell r="N74" t="str">
            <v>VI</v>
          </cell>
          <cell r="P74" t="str">
            <v>PEKERJAAN  PENGECETAN</v>
          </cell>
          <cell r="U74">
            <v>3297826.4299999997</v>
          </cell>
        </row>
        <row r="75">
          <cell r="P75" t="str">
            <v>JUMLAH ( I  s/d.  VI)</v>
          </cell>
          <cell r="U75">
            <v>93425382.349999994</v>
          </cell>
        </row>
        <row r="76">
          <cell r="P76" t="str">
            <v>PPN 10%</v>
          </cell>
          <cell r="U76">
            <v>9342538.2349999994</v>
          </cell>
        </row>
        <row r="77">
          <cell r="P77" t="str">
            <v>TOTAL</v>
          </cell>
          <cell r="U77">
            <v>102767920.58499999</v>
          </cell>
        </row>
        <row r="78">
          <cell r="P78" t="str">
            <v>DIBULATKAN</v>
          </cell>
          <cell r="U78">
            <v>102767000</v>
          </cell>
        </row>
        <row r="80">
          <cell r="N80" t="str">
            <v>Terbilang</v>
          </cell>
          <cell r="O80" t="str">
            <v>:</v>
          </cell>
          <cell r="P80" t="str">
            <v>Seratus Dua Juta Tujuh Ratus Enam Puluh Tujuh Ribu Rupiah</v>
          </cell>
        </row>
        <row r="83">
          <cell r="R83" t="str">
            <v>Bandar Lampung, .................2006</v>
          </cell>
        </row>
        <row r="84">
          <cell r="N84" t="str">
            <v>Disetujui</v>
          </cell>
        </row>
        <row r="85">
          <cell r="N85" t="str">
            <v>Pejabat Pembuat Komitmen/Pimpinan Kegiatan</v>
          </cell>
          <cell r="R85" t="str">
            <v>PANITIA PELELANGAN</v>
          </cell>
        </row>
        <row r="91">
          <cell r="N91" t="str">
            <v>A  Z  W  A  R,ST</v>
          </cell>
          <cell r="R91" t="str">
            <v>FAISOL MUCHTAR,ST</v>
          </cell>
        </row>
        <row r="92">
          <cell r="N92" t="str">
            <v>NIP.460020553</v>
          </cell>
          <cell r="R92" t="str">
            <v>NIP. 460021411</v>
          </cell>
        </row>
      </sheetData>
      <sheetData sheetId="19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Work Shop Dinas BMP Kota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PENDAHULUAN</v>
          </cell>
        </row>
        <row r="13">
          <cell r="B13">
            <v>1</v>
          </cell>
          <cell r="D13" t="str">
            <v>Sewa Direksikeet</v>
          </cell>
          <cell r="H13" t="str">
            <v>Ls</v>
          </cell>
          <cell r="I13">
            <v>1</v>
          </cell>
          <cell r="J13" t="str">
            <v>Unit</v>
          </cell>
          <cell r="K13">
            <v>750000</v>
          </cell>
          <cell r="L13">
            <v>750000</v>
          </cell>
        </row>
        <row r="14">
          <cell r="B14">
            <v>2</v>
          </cell>
          <cell r="D14" t="str">
            <v>Pengukuran</v>
          </cell>
          <cell r="H14" t="str">
            <v>SNI-T-01-1991.1.6</v>
          </cell>
          <cell r="I14">
            <v>600</v>
          </cell>
          <cell r="J14" t="str">
            <v>M1</v>
          </cell>
          <cell r="K14">
            <v>26077.06</v>
          </cell>
          <cell r="L14">
            <v>15646236</v>
          </cell>
        </row>
        <row r="15">
          <cell r="B15">
            <v>3</v>
          </cell>
          <cell r="D15" t="str">
            <v>Pasang papan Nama Proyek</v>
          </cell>
          <cell r="H15" t="str">
            <v>Ls</v>
          </cell>
          <cell r="I15">
            <v>1</v>
          </cell>
          <cell r="J15" t="str">
            <v>Unit</v>
          </cell>
          <cell r="K15">
            <v>250000</v>
          </cell>
          <cell r="L15">
            <v>250000</v>
          </cell>
        </row>
        <row r="16">
          <cell r="B16">
            <v>4</v>
          </cell>
          <cell r="D16" t="str">
            <v>Biaya obat-obatan P 3 K</v>
          </cell>
          <cell r="H16" t="str">
            <v>Ls</v>
          </cell>
          <cell r="I16">
            <v>1</v>
          </cell>
          <cell r="J16" t="str">
            <v>Unit</v>
          </cell>
          <cell r="K16">
            <v>200000</v>
          </cell>
          <cell r="L16">
            <v>200000</v>
          </cell>
        </row>
        <row r="17">
          <cell r="B17">
            <v>5</v>
          </cell>
          <cell r="D17" t="str">
            <v>Foto Dokumentasi  0%, 50%,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300000</v>
          </cell>
          <cell r="L17">
            <v>300000</v>
          </cell>
        </row>
        <row r="18">
          <cell r="B18">
            <v>6</v>
          </cell>
          <cell r="D18" t="str">
            <v>Mobilisasi</v>
          </cell>
          <cell r="H18" t="str">
            <v>Ls</v>
          </cell>
          <cell r="I18">
            <v>1</v>
          </cell>
          <cell r="J18" t="str">
            <v>Unit</v>
          </cell>
          <cell r="K18">
            <v>500000</v>
          </cell>
          <cell r="L18">
            <v>500000</v>
          </cell>
        </row>
        <row r="19">
          <cell r="D19" t="str">
            <v>SUB TOTAL  I</v>
          </cell>
          <cell r="L19">
            <v>17646236</v>
          </cell>
        </row>
        <row r="21">
          <cell r="B21" t="str">
            <v>II</v>
          </cell>
          <cell r="D21" t="str">
            <v>PEKERJAAN  PERSIAPAN</v>
          </cell>
        </row>
        <row r="22">
          <cell r="B22">
            <v>1</v>
          </cell>
          <cell r="D22" t="str">
            <v>Bongkaran Tembok</v>
          </cell>
          <cell r="H22" t="str">
            <v>L.3</v>
          </cell>
          <cell r="I22">
            <v>97.6</v>
          </cell>
          <cell r="J22" t="str">
            <v>M3</v>
          </cell>
          <cell r="K22">
            <v>116400</v>
          </cell>
          <cell r="L22">
            <v>11360640</v>
          </cell>
        </row>
        <row r="23">
          <cell r="D23" t="str">
            <v>SUB TOTAL  II</v>
          </cell>
          <cell r="L23">
            <v>11360640</v>
          </cell>
        </row>
        <row r="25">
          <cell r="B25" t="str">
            <v>III</v>
          </cell>
          <cell r="D25" t="str">
            <v>PEKERJAAN BATU DAN BETON</v>
          </cell>
        </row>
        <row r="26">
          <cell r="B26">
            <v>1</v>
          </cell>
          <cell r="D26" t="str">
            <v>Pekerjaan Profil semen</v>
          </cell>
          <cell r="H26" t="str">
            <v>Supl.38</v>
          </cell>
          <cell r="I26">
            <v>238</v>
          </cell>
          <cell r="J26" t="str">
            <v>M1</v>
          </cell>
          <cell r="K26">
            <v>75102.25</v>
          </cell>
          <cell r="L26">
            <v>17874335.5</v>
          </cell>
        </row>
        <row r="27">
          <cell r="B27">
            <v>2</v>
          </cell>
          <cell r="D27" t="str">
            <v>Pasang Sloof 15/20, Beton Bertulang</v>
          </cell>
          <cell r="H27" t="str">
            <v>G.41</v>
          </cell>
          <cell r="I27">
            <v>17.64</v>
          </cell>
          <cell r="J27" t="str">
            <v>M3</v>
          </cell>
          <cell r="K27">
            <v>701589.14</v>
          </cell>
          <cell r="L27">
            <v>12376032.43</v>
          </cell>
        </row>
        <row r="28">
          <cell r="B28">
            <v>3</v>
          </cell>
          <cell r="D28" t="str">
            <v>Pasang Kolom 15/20 Beton Bertulang</v>
          </cell>
          <cell r="H28" t="str">
            <v>G.41</v>
          </cell>
          <cell r="I28">
            <v>6.75</v>
          </cell>
          <cell r="J28" t="str">
            <v>M3</v>
          </cell>
          <cell r="K28">
            <v>701589.14</v>
          </cell>
          <cell r="L28">
            <v>4735726.7</v>
          </cell>
        </row>
        <row r="29">
          <cell r="B29">
            <v>4</v>
          </cell>
          <cell r="D29" t="str">
            <v>Jembatan</v>
          </cell>
          <cell r="H29" t="str">
            <v>G.41</v>
          </cell>
          <cell r="I29">
            <v>0.72</v>
          </cell>
          <cell r="J29" t="str">
            <v>M3</v>
          </cell>
          <cell r="K29">
            <v>701589.14</v>
          </cell>
          <cell r="L29">
            <v>505144.18</v>
          </cell>
        </row>
        <row r="30">
          <cell r="B30">
            <v>5</v>
          </cell>
          <cell r="D30" t="str">
            <v>Pembesian untuk beton</v>
          </cell>
          <cell r="H30" t="str">
            <v>3/4 I.2(a)</v>
          </cell>
          <cell r="I30">
            <v>25.11</v>
          </cell>
          <cell r="J30" t="str">
            <v>M3</v>
          </cell>
          <cell r="K30">
            <v>1446446</v>
          </cell>
          <cell r="L30">
            <v>36320259.060000002</v>
          </cell>
        </row>
        <row r="31">
          <cell r="B31">
            <v>6</v>
          </cell>
          <cell r="D31" t="str">
            <v>Bekisting untuk beton</v>
          </cell>
          <cell r="H31" t="str">
            <v>F.8</v>
          </cell>
          <cell r="I31">
            <v>0.72</v>
          </cell>
          <cell r="J31" t="str">
            <v>M3</v>
          </cell>
          <cell r="K31">
            <v>1002880</v>
          </cell>
          <cell r="L31">
            <v>722073.59999999998</v>
          </cell>
        </row>
        <row r="32">
          <cell r="D32" t="str">
            <v>SUB TOTAL  III</v>
          </cell>
          <cell r="L32">
            <v>72533571.469999999</v>
          </cell>
        </row>
        <row r="34">
          <cell r="B34" t="str">
            <v>IV</v>
          </cell>
          <cell r="D34" t="str">
            <v>PEKERJAAN PASANGAN</v>
          </cell>
        </row>
        <row r="35">
          <cell r="B35">
            <v>1</v>
          </cell>
          <cell r="D35" t="str">
            <v>Pasangan dinding bata adk.1:4</v>
          </cell>
          <cell r="G35" t="str">
            <v/>
          </cell>
          <cell r="H35" t="str">
            <v>G.33h+G.32a</v>
          </cell>
          <cell r="I35">
            <v>73.358999999999995</v>
          </cell>
          <cell r="J35" t="str">
            <v>M3</v>
          </cell>
          <cell r="K35">
            <v>383258.81</v>
          </cell>
          <cell r="L35">
            <v>28115483.039999999</v>
          </cell>
        </row>
        <row r="36">
          <cell r="B36">
            <v>2</v>
          </cell>
          <cell r="D36" t="str">
            <v>Pasangan Plesteran adk.1:4</v>
          </cell>
          <cell r="H36" t="str">
            <v>G.50q+G.48</v>
          </cell>
          <cell r="I36">
            <v>1467.18</v>
          </cell>
          <cell r="J36" t="str">
            <v>M2</v>
          </cell>
          <cell r="K36">
            <v>19133.61</v>
          </cell>
          <cell r="L36">
            <v>28072449.920000002</v>
          </cell>
        </row>
        <row r="37">
          <cell r="D37" t="str">
            <v>SUB TOTAL  IV</v>
          </cell>
          <cell r="L37">
            <v>56187932.960000001</v>
          </cell>
        </row>
        <row r="39">
          <cell r="B39" t="str">
            <v>V</v>
          </cell>
          <cell r="D39" t="str">
            <v>PEKERJAAN KAYU / PINTU DAN JENDELA</v>
          </cell>
        </row>
        <row r="40">
          <cell r="B40">
            <v>1</v>
          </cell>
          <cell r="D40" t="str">
            <v>Pek. Pintu Pagar</v>
          </cell>
          <cell r="H40" t="str">
            <v>Supl.BMPK.17</v>
          </cell>
          <cell r="I40">
            <v>19.5</v>
          </cell>
          <cell r="J40" t="str">
            <v>M2</v>
          </cell>
          <cell r="K40">
            <v>340533.33</v>
          </cell>
          <cell r="L40">
            <v>6640399.9400000004</v>
          </cell>
        </row>
        <row r="41">
          <cell r="B41">
            <v>2</v>
          </cell>
          <cell r="D41" t="str">
            <v>Pek. Pagar Besi</v>
          </cell>
          <cell r="H41" t="str">
            <v>dihitung</v>
          </cell>
          <cell r="I41">
            <v>141</v>
          </cell>
          <cell r="J41" t="str">
            <v>M2</v>
          </cell>
          <cell r="K41">
            <v>200000</v>
          </cell>
          <cell r="L41">
            <v>28200000</v>
          </cell>
        </row>
        <row r="42">
          <cell r="D42" t="str">
            <v>SUB TOTAL  V</v>
          </cell>
          <cell r="L42">
            <v>34840399.939999998</v>
          </cell>
        </row>
        <row r="44">
          <cell r="B44" t="str">
            <v>VI</v>
          </cell>
          <cell r="D44" t="str">
            <v>PEKERJAAN  PENGECETAN</v>
          </cell>
        </row>
        <row r="45">
          <cell r="B45">
            <v>1</v>
          </cell>
          <cell r="D45" t="str">
            <v>Cat Besi Tembok</v>
          </cell>
          <cell r="H45" t="str">
            <v>Supl.IX.2</v>
          </cell>
          <cell r="I45">
            <v>71.358999999999995</v>
          </cell>
          <cell r="J45" t="str">
            <v>M2</v>
          </cell>
          <cell r="K45">
            <v>16798.75</v>
          </cell>
          <cell r="L45">
            <v>1198742</v>
          </cell>
        </row>
        <row r="46">
          <cell r="B46">
            <v>2</v>
          </cell>
          <cell r="D46" t="str">
            <v>Cat Dinding pagar</v>
          </cell>
          <cell r="H46" t="str">
            <v>G.53.1</v>
          </cell>
          <cell r="I46">
            <v>1467.18</v>
          </cell>
          <cell r="J46" t="str">
            <v>M2</v>
          </cell>
          <cell r="K46">
            <v>7561</v>
          </cell>
          <cell r="L46">
            <v>11093347.98</v>
          </cell>
        </row>
        <row r="47">
          <cell r="D47" t="str">
            <v>SUB TOTAL  VI</v>
          </cell>
          <cell r="L47">
            <v>12292089.98</v>
          </cell>
        </row>
        <row r="48">
          <cell r="D48" t="str">
            <v>JUMLAH</v>
          </cell>
          <cell r="L48">
            <v>204860870.34999999</v>
          </cell>
        </row>
        <row r="49">
          <cell r="D49" t="str">
            <v>PPN (10% X A)</v>
          </cell>
          <cell r="L49">
            <v>20486087.035</v>
          </cell>
        </row>
        <row r="50">
          <cell r="D50" t="str">
            <v>JUMLAH  (A+B)</v>
          </cell>
          <cell r="L50">
            <v>225346957.38499999</v>
          </cell>
        </row>
        <row r="51">
          <cell r="D51" t="str">
            <v>JUMLAH DIBULATKAN</v>
          </cell>
          <cell r="L51">
            <v>225346000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Work Shop Dinas BMP Kota Bandar Lampung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PENDAHULUAN</v>
          </cell>
          <cell r="U63">
            <v>17646236</v>
          </cell>
        </row>
        <row r="64">
          <cell r="N64" t="str">
            <v>II</v>
          </cell>
          <cell r="P64" t="str">
            <v>PEKERJAAN  PERSIAPAN</v>
          </cell>
          <cell r="U64">
            <v>11360640</v>
          </cell>
        </row>
        <row r="65">
          <cell r="N65" t="str">
            <v>III</v>
          </cell>
          <cell r="P65" t="str">
            <v>PEKERJAAN BATU DAN BETON</v>
          </cell>
          <cell r="U65">
            <v>72533571.469999999</v>
          </cell>
        </row>
        <row r="66">
          <cell r="N66" t="str">
            <v>IV</v>
          </cell>
          <cell r="P66" t="str">
            <v>PEKERJAAN PASANGAN</v>
          </cell>
          <cell r="U66">
            <v>56187932.960000001</v>
          </cell>
        </row>
        <row r="67">
          <cell r="N67" t="str">
            <v>V</v>
          </cell>
          <cell r="P67" t="str">
            <v>PEKERJAAN KAYU / PINTU DAN JENDELA</v>
          </cell>
          <cell r="U67">
            <v>34840399.939999998</v>
          </cell>
        </row>
        <row r="68">
          <cell r="N68" t="str">
            <v>VI</v>
          </cell>
          <cell r="P68" t="str">
            <v>PEKERJAAN  PENGECETAN</v>
          </cell>
          <cell r="U68">
            <v>12292089.98</v>
          </cell>
        </row>
        <row r="69">
          <cell r="P69" t="str">
            <v>JUMLAH ( I  s/d.  VI)</v>
          </cell>
          <cell r="U69">
            <v>204860870.34999999</v>
          </cell>
        </row>
        <row r="70">
          <cell r="P70" t="str">
            <v>PPN 10%</v>
          </cell>
          <cell r="U70">
            <v>20486087.035</v>
          </cell>
        </row>
        <row r="71">
          <cell r="P71" t="str">
            <v>TOTAL</v>
          </cell>
          <cell r="U71">
            <v>225346957.38499999</v>
          </cell>
        </row>
        <row r="72">
          <cell r="P72" t="str">
            <v>DIBULATKAN</v>
          </cell>
          <cell r="U72">
            <v>225346000</v>
          </cell>
        </row>
        <row r="74">
          <cell r="N74" t="str">
            <v>Terbilang</v>
          </cell>
          <cell r="O74" t="str">
            <v>:</v>
          </cell>
          <cell r="P74" t="str">
            <v>Dua Ratus Dua Puluh Lima Juta Tiga Ratus Empat Puluh Enam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asrama"/>
      <sheetName val="kantin"/>
      <sheetName val="rekap"/>
      <sheetName val="cover"/>
      <sheetName val="SITE-E"/>
      <sheetName val="har-sat"/>
      <sheetName val="H.Satuan"/>
      <sheetName val="RAW MATERIALS "/>
      <sheetName val="COST-PERSON-J.O."/>
      <sheetName val="RENTAL1"/>
      <sheetName val="upah"/>
      <sheetName val="Harga Dasar"/>
      <sheetName val="harga"/>
      <sheetName val="ovrhed"/>
      <sheetName val="NOMENKLATUR"/>
      <sheetName val="harga bahan"/>
      <sheetName val="slipsumpR"/>
      <sheetName val="Sat Bah _ Up"/>
      <sheetName val="Reservoir"/>
      <sheetName val="DATA"/>
      <sheetName val="ANalat"/>
      <sheetName val="BQ"/>
      <sheetName val="Anal Alat Type II A"/>
      <sheetName val="Analisa"/>
      <sheetName val="4-Basic Price"/>
      <sheetName val="Rek.An"/>
      <sheetName val="DIREKSI"/>
      <sheetName val="gvl"/>
      <sheetName val="A"/>
      <sheetName val="rab kantin diklat g 05"/>
      <sheetName val="ANALISA SNI'07rootsREV"/>
      <sheetName val="ub"/>
      <sheetName val="ANALISA BANGLI"/>
      <sheetName val="Fill this out first___"/>
      <sheetName val="4_Basic Price"/>
      <sheetName val="Pipe"/>
      <sheetName val="ANAL-SNI-08"/>
      <sheetName val="DAF_2"/>
      <sheetName val="UPY"/>
      <sheetName val="Kuantitas _ Harga"/>
      <sheetName val="GAS"/>
      <sheetName val="DEAE"/>
      <sheetName val="BLR5"/>
      <sheetName val="DEM"/>
      <sheetName val="SAM"/>
      <sheetName val="CHEM"/>
      <sheetName val="COP"/>
      <sheetName val="BLR2"/>
      <sheetName val="BLR3"/>
      <sheetName val="BLR4"/>
      <sheetName val="Summary"/>
      <sheetName val="Daf 1"/>
      <sheetName val="SEX"/>
      <sheetName val="FINISHING"/>
      <sheetName val="INDEKS"/>
      <sheetName val="JABATAN"/>
      <sheetName val="D &amp; W sizes"/>
      <sheetName val="bill 3.9"/>
      <sheetName val="Analisa Upah &amp; Bahan Plum"/>
      <sheetName val="SDM"/>
      <sheetName val="bahan SNI"/>
      <sheetName val="RAB"/>
      <sheetName val="sch 1.2"/>
    </sheetNames>
    <sheetDataSet>
      <sheetData sheetId="0" refreshError="1"/>
      <sheetData sheetId="1" refreshError="1">
        <row r="70">
          <cell r="J70">
            <v>331278</v>
          </cell>
        </row>
        <row r="88">
          <cell r="J88">
            <v>566505</v>
          </cell>
        </row>
        <row r="330">
          <cell r="J330">
            <v>3684431.777777778</v>
          </cell>
        </row>
        <row r="570">
          <cell r="J570">
            <v>66580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Upah"/>
      <sheetName val="BAHAN-UPAH"/>
      <sheetName val="ANALISA"/>
      <sheetName val="VOLUME STR"/>
      <sheetName val="RAB STRUKTUR"/>
      <sheetName val="RAB ARSITEKTUR jadi satu"/>
      <sheetName val="VOLUME ARSITEK"/>
      <sheetName val="RAB MEP"/>
      <sheetName val="REKAP"/>
      <sheetName val="Vol Kusen LT 1"/>
      <sheetName val="BERAT BESI (fe)"/>
      <sheetName val="DAFTAR BESI "/>
      <sheetName val="Spek Teknis ME"/>
    </sheetNames>
    <sheetDataSet>
      <sheetData sheetId="0"/>
      <sheetData sheetId="1"/>
      <sheetData sheetId="2"/>
      <sheetData sheetId="3">
        <row r="1051">
          <cell r="I1051">
            <v>15166.25</v>
          </cell>
        </row>
        <row r="1179">
          <cell r="I1179">
            <v>198653.75</v>
          </cell>
        </row>
        <row r="1206">
          <cell r="I1206">
            <v>10450253.779289683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A.4"/>
      <sheetName val="JW"/>
      <sheetName val="JA"/>
      <sheetName val="JB"/>
      <sheetName val="010-111"/>
      <sheetName val="112-885"/>
      <sheetName val="Anl.+"/>
      <sheetName val="Anl.BOW"/>
      <sheetName val="P"/>
      <sheetName val="L"/>
      <sheetName val="M"/>
      <sheetName val="E"/>
      <sheetName val="REKAN"/>
      <sheetName val="PB"/>
      <sheetName val="K.8"/>
      <sheetName val="K.9"/>
      <sheetName val="JU"/>
      <sheetName val="Informasi"/>
      <sheetName val="MC1"/>
      <sheetName val="Analisa K"/>
      <sheetName val="Analisa SNI"/>
      <sheetName val="hrg uph+bhn"/>
      <sheetName val="RAB 01"/>
      <sheetName val="RAB 02"/>
      <sheetName val="RAB 03"/>
      <sheetName val="RAB 04"/>
      <sheetName val="RAB 05"/>
      <sheetName val="RAB 06"/>
      <sheetName val="RAB 07"/>
      <sheetName val="RAB 08"/>
      <sheetName val="RAB 09"/>
      <sheetName val="RAB 10"/>
      <sheetName val="RAB 11"/>
      <sheetName val="Supl.X"/>
      <sheetName val="Alat"/>
    </sheetNames>
    <sheetDataSet>
      <sheetData sheetId="0"/>
      <sheetData sheetId="1"/>
      <sheetData sheetId="2"/>
      <sheetData sheetId="3"/>
      <sheetData sheetId="4"/>
      <sheetData sheetId="5"/>
      <sheetData sheetId="6">
        <row r="6003">
          <cell r="A6003" t="str">
            <v>ANALISA HARGA SATUAN</v>
          </cell>
          <cell r="L6003" t="str">
            <v>KODE</v>
          </cell>
        </row>
        <row r="6004">
          <cell r="A6004" t="str">
            <v>MEMBERSIHKAN SIRING PASANGAN TERTUTUP</v>
          </cell>
        </row>
        <row r="6005">
          <cell r="A6005" t="str">
            <v>(MENGGUNAKAN BURUH)</v>
          </cell>
          <cell r="L6005" t="str">
            <v>K - 424A</v>
          </cell>
        </row>
        <row r="6007">
          <cell r="A6007" t="str">
            <v>PROPINSI            :</v>
          </cell>
          <cell r="C6007" t="str">
            <v>LAMPUNG</v>
          </cell>
          <cell r="E6007" t="str">
            <v>KODE</v>
          </cell>
          <cell r="F6007" t="str">
            <v>KOTA</v>
          </cell>
          <cell r="H6007" t="str">
            <v>KODE</v>
          </cell>
          <cell r="I6007" t="str">
            <v>DISIAPKAN OLEH :</v>
          </cell>
          <cell r="K6007" t="str">
            <v>TANGGAL</v>
          </cell>
        </row>
        <row r="6008">
          <cell r="E6008" t="str">
            <v>[071]</v>
          </cell>
          <cell r="F6008" t="str">
            <v>BANDAR LAMPUNG</v>
          </cell>
          <cell r="H6008" t="str">
            <v>[018]</v>
          </cell>
          <cell r="I6008" t="str">
            <v>CV.PUTRA SILIWANGI JAYA</v>
          </cell>
          <cell r="K6008" t="str">
            <v>05 Agustus 2005</v>
          </cell>
        </row>
        <row r="6011">
          <cell r="A6011" t="str">
            <v>URAIAN</v>
          </cell>
          <cell r="F6011" t="str">
            <v>ANGGAPAN / ASUMSI</v>
          </cell>
        </row>
        <row r="6012">
          <cell r="A6012" t="str">
            <v>1.</v>
          </cell>
          <cell r="B6012" t="str">
            <v>Bersihkan saluran samping dan gorong-gorong dari</v>
          </cell>
          <cell r="F6012" t="str">
            <v>1. Menggunakan Tenaga Manusia 100 m perhari</v>
          </cell>
        </row>
        <row r="6013">
          <cell r="B6013" t="str">
            <v>kotoran/sampah dan tumbuh-tumbuhan</v>
          </cell>
          <cell r="F6013" t="str">
            <v>2. Membersihkan sampah, kotoran yang menyumbat, tumbuh-tumbuhan dari parit</v>
          </cell>
        </row>
        <row r="6014">
          <cell r="A6014" t="str">
            <v>2.</v>
          </cell>
          <cell r="B6014" t="str">
            <v>Buang sampah/kotoran tersebut dengan</v>
          </cell>
          <cell r="F6014" t="str">
            <v>dan gorong-gorong.</v>
          </cell>
        </row>
        <row r="6015">
          <cell r="B6015" t="str">
            <v>menggunakantruck, dimuat oleh tenaga orang</v>
          </cell>
          <cell r="F6015" t="str">
            <v>3. Pembuangan reruntuhan sejauh 1,00 km (10 m3/100m)</v>
          </cell>
        </row>
        <row r="6016">
          <cell r="F6016" t="str">
            <v>4. Kapasitas 1 rit PP/jam/truck</v>
          </cell>
        </row>
        <row r="6017">
          <cell r="F6017" t="str">
            <v>5. Penggunaan alat bantu 1 bulan/orang/set @ 3 alat.</v>
          </cell>
        </row>
        <row r="6022">
          <cell r="B6022" t="str">
            <v>PEKERJA</v>
          </cell>
          <cell r="E6022" t="str">
            <v>JUMLAH</v>
          </cell>
          <cell r="F6022" t="str">
            <v>HARI</v>
          </cell>
          <cell r="G6022" t="str">
            <v>KODE</v>
          </cell>
          <cell r="H6022" t="str">
            <v>TOTAL VOL</v>
          </cell>
          <cell r="I6022" t="str">
            <v>UPAH</v>
          </cell>
          <cell r="J6022" t="str">
            <v>BIAYA</v>
          </cell>
          <cell r="K6022" t="str">
            <v>SUB TOTAL</v>
          </cell>
        </row>
        <row r="6023">
          <cell r="E6023" t="str">
            <v>ORANG</v>
          </cell>
          <cell r="H6023" t="str">
            <v>(Orang hari)</v>
          </cell>
          <cell r="I6023" t="str">
            <v>(Rp/Org/Hari)</v>
          </cell>
          <cell r="J6023" t="str">
            <v>(Rp)</v>
          </cell>
          <cell r="K6023" t="str">
            <v>(Rp)</v>
          </cell>
        </row>
        <row r="6026">
          <cell r="A6026" t="str">
            <v>P</v>
          </cell>
          <cell r="B6026" t="str">
            <v>Buruh tak terampil</v>
          </cell>
          <cell r="E6026">
            <v>36</v>
          </cell>
          <cell r="F6026">
            <v>1</v>
          </cell>
          <cell r="G6026" t="str">
            <v>L 101</v>
          </cell>
          <cell r="H6026">
            <v>36</v>
          </cell>
          <cell r="I6026">
            <v>21800</v>
          </cell>
          <cell r="J6026">
            <v>784800</v>
          </cell>
        </row>
        <row r="6027">
          <cell r="A6027" t="str">
            <v>E</v>
          </cell>
          <cell r="B6027" t="str">
            <v>Supir terampil</v>
          </cell>
          <cell r="E6027">
            <v>2</v>
          </cell>
          <cell r="F6027">
            <v>1</v>
          </cell>
          <cell r="G6027" t="str">
            <v>L 091</v>
          </cell>
          <cell r="H6027">
            <v>2</v>
          </cell>
          <cell r="I6027">
            <v>29500</v>
          </cell>
          <cell r="J6027">
            <v>59000</v>
          </cell>
        </row>
        <row r="6028">
          <cell r="A6028" t="str">
            <v>K</v>
          </cell>
          <cell r="B6028" t="str">
            <v>Pembantu Supir</v>
          </cell>
          <cell r="E6028">
            <v>2</v>
          </cell>
          <cell r="F6028">
            <v>1</v>
          </cell>
          <cell r="G6028" t="str">
            <v>L 099</v>
          </cell>
          <cell r="H6028">
            <v>2</v>
          </cell>
          <cell r="I6028">
            <v>21800</v>
          </cell>
          <cell r="J6028">
            <v>43600</v>
          </cell>
        </row>
        <row r="6029">
          <cell r="A6029" t="str">
            <v>E</v>
          </cell>
          <cell r="B6029" t="str">
            <v>Mandor</v>
          </cell>
          <cell r="E6029">
            <v>1</v>
          </cell>
          <cell r="F6029">
            <v>1</v>
          </cell>
          <cell r="G6029" t="str">
            <v>L 061</v>
          </cell>
          <cell r="H6029">
            <v>1</v>
          </cell>
          <cell r="I6029">
            <v>34400</v>
          </cell>
          <cell r="J6029">
            <v>34400</v>
          </cell>
        </row>
        <row r="6030">
          <cell r="A6030" t="str">
            <v>R</v>
          </cell>
        </row>
        <row r="6031">
          <cell r="A6031" t="str">
            <v>J</v>
          </cell>
        </row>
        <row r="6032">
          <cell r="A6032" t="str">
            <v>A</v>
          </cell>
        </row>
        <row r="6040">
          <cell r="D6040" t="str">
            <v>JUMLAH BIAYA UNTUK PEKERJA</v>
          </cell>
          <cell r="J6040" t="str">
            <v>PEKERJA (I+II)</v>
          </cell>
          <cell r="L6040">
            <v>921800</v>
          </cell>
        </row>
        <row r="6041">
          <cell r="B6041" t="str">
            <v>MATERIAL</v>
          </cell>
          <cell r="E6041" t="str">
            <v>JUMLAH</v>
          </cell>
          <cell r="F6041" t="str">
            <v>SATUAN</v>
          </cell>
          <cell r="G6041" t="str">
            <v>KODE</v>
          </cell>
          <cell r="H6041" t="str">
            <v>TOTAL VOL</v>
          </cell>
          <cell r="I6041" t="str">
            <v>HARGA SATUAN</v>
          </cell>
          <cell r="J6041" t="str">
            <v>BIAYA</v>
          </cell>
          <cell r="K6041" t="str">
            <v>SUB TOTAL</v>
          </cell>
        </row>
        <row r="6042">
          <cell r="E6042" t="str">
            <v>MATERIAL</v>
          </cell>
          <cell r="I6042" t="str">
            <v>(Rp)</v>
          </cell>
          <cell r="J6042" t="str">
            <v>(Rp)</v>
          </cell>
          <cell r="K6042" t="str">
            <v>(Rp)</v>
          </cell>
        </row>
        <row r="6044">
          <cell r="A6044" t="str">
            <v>M</v>
          </cell>
          <cell r="B6044" t="str">
            <v>Alat bantu ( set @ 3 alat)</v>
          </cell>
          <cell r="F6044" t="str">
            <v>set</v>
          </cell>
          <cell r="G6044" t="str">
            <v>M 170</v>
          </cell>
          <cell r="H6044">
            <v>5</v>
          </cell>
          <cell r="I6044">
            <v>49935</v>
          </cell>
          <cell r="J6044">
            <v>249675</v>
          </cell>
        </row>
        <row r="6045">
          <cell r="A6045" t="str">
            <v>A</v>
          </cell>
        </row>
        <row r="6046">
          <cell r="A6046" t="str">
            <v>T</v>
          </cell>
        </row>
        <row r="6047">
          <cell r="A6047" t="str">
            <v>E</v>
          </cell>
        </row>
        <row r="6048">
          <cell r="A6048" t="str">
            <v>R</v>
          </cell>
        </row>
        <row r="6049">
          <cell r="A6049" t="str">
            <v>I</v>
          </cell>
        </row>
        <row r="6050">
          <cell r="A6050" t="str">
            <v>A</v>
          </cell>
        </row>
        <row r="6051">
          <cell r="A6051" t="str">
            <v>L</v>
          </cell>
        </row>
        <row r="6059">
          <cell r="D6059" t="str">
            <v>JUMLAH BIAYA UNTUK MATERIAL</v>
          </cell>
          <cell r="J6059" t="str">
            <v>MATERIAL (I+II)</v>
          </cell>
          <cell r="L6059">
            <v>249675</v>
          </cell>
        </row>
        <row r="6060">
          <cell r="B6060" t="str">
            <v>PERALATAN</v>
          </cell>
          <cell r="E6060" t="str">
            <v>JUMLAH</v>
          </cell>
          <cell r="F6060" t="str">
            <v>HARI</v>
          </cell>
          <cell r="G6060" t="str">
            <v>KODE</v>
          </cell>
          <cell r="H6060" t="str">
            <v>JAM KERJA</v>
          </cell>
          <cell r="I6060" t="str">
            <v>HARGA</v>
          </cell>
          <cell r="J6060" t="str">
            <v>BIAYA</v>
          </cell>
          <cell r="K6060" t="str">
            <v>SUB TOTAL</v>
          </cell>
        </row>
        <row r="6061">
          <cell r="E6061" t="str">
            <v>ALAT</v>
          </cell>
          <cell r="F6061" t="str">
            <v>KERJA</v>
          </cell>
          <cell r="I6061" t="str">
            <v>(Rp/Jam)</v>
          </cell>
          <cell r="J6061" t="str">
            <v>(Rp)</v>
          </cell>
          <cell r="K6061" t="str">
            <v>(Rp)</v>
          </cell>
        </row>
        <row r="6063">
          <cell r="A6063" t="str">
            <v>P</v>
          </cell>
          <cell r="B6063" t="str">
            <v>Truk bak terbuka 3,5 T/115 HP</v>
          </cell>
          <cell r="E6063">
            <v>2</v>
          </cell>
          <cell r="F6063">
            <v>1</v>
          </cell>
          <cell r="G6063" t="str">
            <v>E 221</v>
          </cell>
          <cell r="H6063">
            <v>15</v>
          </cell>
          <cell r="I6063">
            <v>54910</v>
          </cell>
          <cell r="J6063">
            <v>823650</v>
          </cell>
        </row>
        <row r="6064">
          <cell r="A6064" t="str">
            <v>E</v>
          </cell>
        </row>
        <row r="6065">
          <cell r="A6065" t="str">
            <v>R</v>
          </cell>
        </row>
        <row r="6066">
          <cell r="A6066" t="str">
            <v>A</v>
          </cell>
        </row>
        <row r="6067">
          <cell r="A6067" t="str">
            <v>L</v>
          </cell>
        </row>
        <row r="6068">
          <cell r="A6068" t="str">
            <v>A</v>
          </cell>
        </row>
        <row r="6069">
          <cell r="A6069" t="str">
            <v>T</v>
          </cell>
        </row>
        <row r="6070">
          <cell r="A6070" t="str">
            <v>A</v>
          </cell>
        </row>
        <row r="6071">
          <cell r="A6071" t="str">
            <v>N</v>
          </cell>
        </row>
        <row r="6078">
          <cell r="D6078" t="str">
            <v>JUMLAH BIAYA UNTUK PERALATAN</v>
          </cell>
          <cell r="J6078" t="str">
            <v>PERALATAN (I+II)</v>
          </cell>
          <cell r="L6078">
            <v>823650</v>
          </cell>
        </row>
        <row r="6079">
          <cell r="J6079" t="str">
            <v>T O T A L (Rp)</v>
          </cell>
          <cell r="L6079">
            <v>1995125</v>
          </cell>
        </row>
        <row r="6081">
          <cell r="B6081" t="str">
            <v>VOLUME  :</v>
          </cell>
          <cell r="C6081">
            <v>100</v>
          </cell>
          <cell r="E6081" t="str">
            <v>SATUAN  :</v>
          </cell>
          <cell r="F6081" t="str">
            <v>M '</v>
          </cell>
          <cell r="H6081" t="str">
            <v>HARGA SATUAN  :</v>
          </cell>
          <cell r="I6081">
            <v>19951.25</v>
          </cell>
          <cell r="J6081" t="str">
            <v>per</v>
          </cell>
          <cell r="K6081" t="str">
            <v>M '</v>
          </cell>
        </row>
        <row r="6084">
          <cell r="A6084" t="str">
            <v>ANALISA HARGA SATUAN</v>
          </cell>
          <cell r="L6084" t="str">
            <v>KODE</v>
          </cell>
        </row>
        <row r="6085">
          <cell r="A6085" t="str">
            <v>PENIMBUNAN BADAN JALAN</v>
          </cell>
        </row>
        <row r="6086">
          <cell r="A6086" t="str">
            <v>(MENGGUNAKAN ALAT)</v>
          </cell>
          <cell r="L6086" t="str">
            <v>K - 311 A</v>
          </cell>
        </row>
        <row r="6088">
          <cell r="A6088" t="str">
            <v>PROPINSI            :</v>
          </cell>
          <cell r="C6088" t="str">
            <v>LAMPUNG</v>
          </cell>
          <cell r="E6088" t="str">
            <v>KODE</v>
          </cell>
          <cell r="F6088" t="str">
            <v>KOTA</v>
          </cell>
          <cell r="H6088" t="str">
            <v>KODE</v>
          </cell>
          <cell r="I6088" t="str">
            <v>DISIAPKAN OLEH :</v>
          </cell>
          <cell r="K6088" t="str">
            <v>TANGGAL</v>
          </cell>
        </row>
        <row r="6089">
          <cell r="E6089" t="str">
            <v>[071]</v>
          </cell>
          <cell r="F6089" t="str">
            <v>BANDAR LAMPUNG</v>
          </cell>
          <cell r="H6089" t="str">
            <v>[018]</v>
          </cell>
          <cell r="I6089" t="str">
            <v>CV.PUTRA SILIWANGI JAYA</v>
          </cell>
          <cell r="K6089" t="str">
            <v>05 Agustus 2005</v>
          </cell>
        </row>
        <row r="6092">
          <cell r="A6092" t="str">
            <v>URAIAN</v>
          </cell>
          <cell r="F6092" t="str">
            <v>ANGGAPAN / ASUMSI</v>
          </cell>
        </row>
        <row r="6093">
          <cell r="A6093" t="str">
            <v>1.</v>
          </cell>
          <cell r="B6093" t="str">
            <v>Material dihampar maksimum</v>
          </cell>
          <cell r="F6093" t="str">
            <v>1. Menggunakan alat berat ( 120 M3/hari )</v>
          </cell>
        </row>
        <row r="6094">
          <cell r="B6094" t="str">
            <v>tebal setiap lapis 20 cm</v>
          </cell>
          <cell r="F6094" t="str">
            <v>2. Harga material tergantung pada harga lokasi pekerjaan.</v>
          </cell>
        </row>
        <row r="6095">
          <cell r="A6095" t="str">
            <v>2.</v>
          </cell>
          <cell r="B6095" t="str">
            <v>Setiap lapis dipadatkan minimum 4 kali</v>
          </cell>
        </row>
        <row r="6096">
          <cell r="B6096" t="str">
            <v>lintasan dengan mesin gilas roda karet</v>
          </cell>
        </row>
        <row r="6097">
          <cell r="A6097" t="str">
            <v/>
          </cell>
        </row>
        <row r="6098">
          <cell r="A6098" t="str">
            <v/>
          </cell>
        </row>
        <row r="6103">
          <cell r="F6103" t="str">
            <v/>
          </cell>
        </row>
        <row r="6104">
          <cell r="B6104" t="str">
            <v>PEKERJA</v>
          </cell>
          <cell r="E6104" t="str">
            <v>JUMLAH</v>
          </cell>
          <cell r="F6104" t="str">
            <v>HARI</v>
          </cell>
          <cell r="G6104" t="str">
            <v>KODE</v>
          </cell>
          <cell r="H6104" t="str">
            <v>TOTAL VOL</v>
          </cell>
          <cell r="I6104" t="str">
            <v>UPAH</v>
          </cell>
          <cell r="J6104" t="str">
            <v>BIAYA</v>
          </cell>
          <cell r="K6104" t="str">
            <v>SUB TOTAL</v>
          </cell>
        </row>
        <row r="6105">
          <cell r="E6105" t="str">
            <v>ORANG</v>
          </cell>
          <cell r="H6105" t="str">
            <v>(Orang-hari)</v>
          </cell>
          <cell r="I6105" t="str">
            <v>(Rp/Org/Hari)</v>
          </cell>
          <cell r="J6105" t="str">
            <v>(Rp)</v>
          </cell>
          <cell r="K6105" t="str">
            <v>(Rp)</v>
          </cell>
        </row>
        <row r="6108">
          <cell r="A6108" t="str">
            <v>P</v>
          </cell>
          <cell r="B6108" t="str">
            <v>Buruh tak terampil</v>
          </cell>
          <cell r="E6108">
            <v>4</v>
          </cell>
          <cell r="F6108">
            <v>1</v>
          </cell>
          <cell r="G6108" t="str">
            <v>L 101</v>
          </cell>
          <cell r="H6108">
            <v>4</v>
          </cell>
          <cell r="I6108">
            <v>21800</v>
          </cell>
          <cell r="J6108">
            <v>87200</v>
          </cell>
        </row>
        <row r="6109">
          <cell r="A6109" t="str">
            <v>E</v>
          </cell>
          <cell r="B6109" t="str">
            <v>Mandor</v>
          </cell>
          <cell r="E6109">
            <v>1</v>
          </cell>
          <cell r="F6109">
            <v>1</v>
          </cell>
          <cell r="G6109" t="str">
            <v>L 061</v>
          </cell>
          <cell r="H6109">
            <v>1</v>
          </cell>
          <cell r="I6109">
            <v>34400</v>
          </cell>
          <cell r="J6109">
            <v>34400</v>
          </cell>
        </row>
        <row r="6110">
          <cell r="A6110" t="str">
            <v>K</v>
          </cell>
          <cell r="B6110" t="str">
            <v>Operator terampil</v>
          </cell>
          <cell r="E6110">
            <v>2</v>
          </cell>
          <cell r="F6110">
            <v>1</v>
          </cell>
          <cell r="G6110" t="str">
            <v>L 081</v>
          </cell>
          <cell r="H6110">
            <v>2</v>
          </cell>
          <cell r="I6110">
            <v>34400</v>
          </cell>
          <cell r="J6110">
            <v>68800</v>
          </cell>
        </row>
        <row r="6111">
          <cell r="A6111" t="str">
            <v>E</v>
          </cell>
          <cell r="B6111" t="str">
            <v>Pembatu operator</v>
          </cell>
          <cell r="E6111">
            <v>2</v>
          </cell>
          <cell r="F6111">
            <v>1</v>
          </cell>
          <cell r="G6111" t="str">
            <v>L 083</v>
          </cell>
          <cell r="H6111">
            <v>2</v>
          </cell>
          <cell r="I6111">
            <v>21800</v>
          </cell>
          <cell r="J6111">
            <v>43600</v>
          </cell>
        </row>
        <row r="6112">
          <cell r="A6112" t="str">
            <v>R</v>
          </cell>
          <cell r="B6112" t="str">
            <v>Supir terampil</v>
          </cell>
          <cell r="E6112">
            <v>1</v>
          </cell>
          <cell r="F6112">
            <v>1</v>
          </cell>
          <cell r="G6112" t="str">
            <v>L 091</v>
          </cell>
          <cell r="H6112">
            <v>1</v>
          </cell>
          <cell r="I6112">
            <v>29500</v>
          </cell>
          <cell r="J6112">
            <v>29500</v>
          </cell>
        </row>
        <row r="6113">
          <cell r="A6113" t="str">
            <v>J</v>
          </cell>
          <cell r="B6113" t="str">
            <v>Pembantu Supir</v>
          </cell>
          <cell r="E6113">
            <v>1</v>
          </cell>
          <cell r="F6113">
            <v>1</v>
          </cell>
          <cell r="G6113" t="str">
            <v>L 099</v>
          </cell>
          <cell r="H6113">
            <v>1</v>
          </cell>
          <cell r="I6113">
            <v>21800</v>
          </cell>
          <cell r="J6113">
            <v>21800</v>
          </cell>
        </row>
        <row r="6114">
          <cell r="A6114" t="str">
            <v>A</v>
          </cell>
        </row>
        <row r="6120">
          <cell r="D6120" t="str">
            <v>JUMLAH BIAYA UNTUK PEKERJA</v>
          </cell>
          <cell r="J6120" t="str">
            <v>PEKERJA (I+II)</v>
          </cell>
          <cell r="L6120">
            <v>285300</v>
          </cell>
        </row>
        <row r="6121">
          <cell r="B6121" t="str">
            <v>MATERIAL</v>
          </cell>
          <cell r="F6121" t="str">
            <v>SATUAN</v>
          </cell>
          <cell r="G6121" t="str">
            <v>KODE</v>
          </cell>
          <cell r="H6121" t="str">
            <v>TOTAL VOL</v>
          </cell>
          <cell r="I6121" t="str">
            <v>HARGA SATUAN</v>
          </cell>
          <cell r="J6121" t="str">
            <v>BIAYA</v>
          </cell>
          <cell r="K6121" t="str">
            <v>SUB TOTAL</v>
          </cell>
        </row>
        <row r="6122">
          <cell r="I6122" t="str">
            <v>(Rp)</v>
          </cell>
          <cell r="J6122" t="str">
            <v>(Rp)</v>
          </cell>
          <cell r="K6122" t="str">
            <v>(Rp)</v>
          </cell>
        </row>
        <row r="6123">
          <cell r="A6123" t="str">
            <v/>
          </cell>
        </row>
        <row r="6124">
          <cell r="A6124" t="str">
            <v>M</v>
          </cell>
          <cell r="B6124" t="str">
            <v>Timbunan biasa</v>
          </cell>
          <cell r="F6124" t="str">
            <v>m3</v>
          </cell>
          <cell r="G6124" t="str">
            <v>M 050.a</v>
          </cell>
          <cell r="H6124">
            <v>144</v>
          </cell>
          <cell r="I6124">
            <v>34950</v>
          </cell>
          <cell r="J6124">
            <v>5032800</v>
          </cell>
        </row>
        <row r="6125">
          <cell r="A6125" t="str">
            <v>A</v>
          </cell>
        </row>
        <row r="6126">
          <cell r="A6126" t="str">
            <v>T</v>
          </cell>
          <cell r="B6126" t="str">
            <v>Alat Bantu (set @ 3 alat )</v>
          </cell>
          <cell r="F6126" t="str">
            <v>set</v>
          </cell>
          <cell r="G6126" t="str">
            <v>M 170</v>
          </cell>
          <cell r="H6126">
            <v>0.16</v>
          </cell>
          <cell r="I6126">
            <v>49935</v>
          </cell>
          <cell r="J6126">
            <v>7989.6</v>
          </cell>
        </row>
        <row r="6127">
          <cell r="A6127" t="str">
            <v>E</v>
          </cell>
        </row>
        <row r="6128">
          <cell r="A6128" t="str">
            <v>R</v>
          </cell>
        </row>
        <row r="6129">
          <cell r="A6129" t="str">
            <v>I</v>
          </cell>
        </row>
        <row r="6130">
          <cell r="A6130" t="str">
            <v>A</v>
          </cell>
        </row>
        <row r="6131">
          <cell r="A6131" t="str">
            <v>L</v>
          </cell>
        </row>
        <row r="6133">
          <cell r="B6133" t="str">
            <v/>
          </cell>
          <cell r="E6133" t="str">
            <v/>
          </cell>
          <cell r="F6133" t="str">
            <v/>
          </cell>
          <cell r="G6133" t="str">
            <v/>
          </cell>
          <cell r="H6133" t="str">
            <v/>
          </cell>
          <cell r="I6133" t="str">
            <v/>
          </cell>
        </row>
        <row r="6134">
          <cell r="B6134" t="str">
            <v/>
          </cell>
          <cell r="E6134" t="str">
            <v/>
          </cell>
          <cell r="F6134" t="str">
            <v/>
          </cell>
          <cell r="G6134" t="str">
            <v/>
          </cell>
          <cell r="H6134" t="str">
            <v/>
          </cell>
          <cell r="I6134" t="str">
            <v/>
          </cell>
        </row>
        <row r="6135">
          <cell r="B6135" t="str">
            <v/>
          </cell>
          <cell r="E6135" t="str">
            <v/>
          </cell>
          <cell r="F6135" t="str">
            <v/>
          </cell>
          <cell r="G6135" t="str">
            <v/>
          </cell>
          <cell r="H6135" t="str">
            <v/>
          </cell>
          <cell r="I6135" t="str">
            <v/>
          </cell>
        </row>
        <row r="6136">
          <cell r="B6136" t="str">
            <v/>
          </cell>
          <cell r="E6136" t="str">
            <v/>
          </cell>
          <cell r="F6136" t="str">
            <v/>
          </cell>
          <cell r="G6136" t="str">
            <v/>
          </cell>
          <cell r="H6136" t="str">
            <v/>
          </cell>
          <cell r="I6136" t="str">
            <v/>
          </cell>
        </row>
        <row r="6138">
          <cell r="D6138" t="str">
            <v>JUMLAH BIAYA UNTUK MATERIAL</v>
          </cell>
          <cell r="J6138" t="str">
            <v>MATERIAL (I+II)</v>
          </cell>
          <cell r="L6138">
            <v>5040790</v>
          </cell>
        </row>
        <row r="6139">
          <cell r="B6139" t="str">
            <v>PERALATAN</v>
          </cell>
          <cell r="E6139" t="str">
            <v>JUMLAH</v>
          </cell>
          <cell r="F6139" t="str">
            <v>HARI</v>
          </cell>
          <cell r="G6139" t="str">
            <v>KODE</v>
          </cell>
          <cell r="H6139" t="str">
            <v>JAM KERJA</v>
          </cell>
          <cell r="I6139" t="str">
            <v>HARGA</v>
          </cell>
          <cell r="J6139" t="str">
            <v>BIAYA</v>
          </cell>
          <cell r="K6139" t="str">
            <v>SUB TOTAL</v>
          </cell>
        </row>
        <row r="6140">
          <cell r="E6140" t="str">
            <v>ALAT</v>
          </cell>
          <cell r="F6140" t="str">
            <v>KERJA</v>
          </cell>
          <cell r="I6140" t="str">
            <v>(Rp/Jam)</v>
          </cell>
          <cell r="J6140" t="str">
            <v>(Rp)</v>
          </cell>
          <cell r="K6140" t="str">
            <v>(Rp)</v>
          </cell>
        </row>
        <row r="6142">
          <cell r="A6142" t="str">
            <v>P</v>
          </cell>
          <cell r="B6142" t="str">
            <v>Motor Grader 100 HP</v>
          </cell>
          <cell r="E6142">
            <v>1</v>
          </cell>
          <cell r="F6142">
            <v>1</v>
          </cell>
          <cell r="G6142" t="str">
            <v>E 010</v>
          </cell>
          <cell r="H6142">
            <v>5</v>
          </cell>
          <cell r="I6142">
            <v>149510</v>
          </cell>
          <cell r="J6142">
            <v>747550</v>
          </cell>
        </row>
        <row r="6143">
          <cell r="A6143" t="str">
            <v>E</v>
          </cell>
          <cell r="B6143" t="str">
            <v>Mesin gilas roda karet 8 - 15 T</v>
          </cell>
          <cell r="E6143">
            <v>1</v>
          </cell>
          <cell r="F6143">
            <v>1</v>
          </cell>
          <cell r="G6143" t="str">
            <v>E 084</v>
          </cell>
          <cell r="H6143">
            <v>5</v>
          </cell>
          <cell r="I6143">
            <v>149510</v>
          </cell>
          <cell r="J6143">
            <v>747550</v>
          </cell>
        </row>
        <row r="6144">
          <cell r="A6144" t="str">
            <v>R</v>
          </cell>
          <cell r="B6144" t="str">
            <v>Truk tangki air 115 HP</v>
          </cell>
          <cell r="E6144">
            <v>1</v>
          </cell>
          <cell r="F6144">
            <v>1</v>
          </cell>
          <cell r="G6144" t="str">
            <v>E 182</v>
          </cell>
          <cell r="H6144">
            <v>5</v>
          </cell>
          <cell r="I6144">
            <v>64790</v>
          </cell>
          <cell r="J6144">
            <v>323950</v>
          </cell>
        </row>
        <row r="6145">
          <cell r="A6145" t="str">
            <v>A</v>
          </cell>
        </row>
        <row r="6146">
          <cell r="A6146" t="str">
            <v>L</v>
          </cell>
        </row>
        <row r="6147">
          <cell r="A6147" t="str">
            <v>A</v>
          </cell>
        </row>
        <row r="6148">
          <cell r="A6148" t="str">
            <v>T</v>
          </cell>
        </row>
        <row r="6149">
          <cell r="A6149" t="str">
            <v>A</v>
          </cell>
        </row>
        <row r="6150">
          <cell r="A6150" t="str">
            <v>N</v>
          </cell>
        </row>
        <row r="6158">
          <cell r="D6158" t="str">
            <v>JUMLAH BIAYA UNTUK PERALATAN</v>
          </cell>
          <cell r="J6158" t="str">
            <v>PERALATAN (I+II)</v>
          </cell>
          <cell r="L6158">
            <v>1819050</v>
          </cell>
        </row>
        <row r="6159">
          <cell r="J6159" t="str">
            <v>T O T A L (Rp)</v>
          </cell>
          <cell r="L6159">
            <v>7145140</v>
          </cell>
        </row>
        <row r="6161">
          <cell r="B6161" t="str">
            <v>VOLUME  :</v>
          </cell>
          <cell r="C6161">
            <v>120</v>
          </cell>
          <cell r="E6161" t="str">
            <v>SATUAN  :</v>
          </cell>
          <cell r="F6161" t="str">
            <v>M3</v>
          </cell>
          <cell r="H6161" t="str">
            <v>HARGA SATUAN  :</v>
          </cell>
          <cell r="I6161">
            <v>59542.83</v>
          </cell>
          <cell r="J6161" t="str">
            <v>per</v>
          </cell>
          <cell r="K6161" t="str">
            <v>M3</v>
          </cell>
        </row>
        <row r="6164">
          <cell r="A6164" t="str">
            <v>ANALISA HARGA SATUAN</v>
          </cell>
          <cell r="L6164" t="str">
            <v>KODE</v>
          </cell>
        </row>
        <row r="6165">
          <cell r="A6165" t="str">
            <v>PENIMBUNAN BADAN JALAN</v>
          </cell>
        </row>
        <row r="6166">
          <cell r="A6166" t="str">
            <v>(MENGGUNAKAN ALAT)</v>
          </cell>
          <cell r="L6166" t="str">
            <v>K - 311 B</v>
          </cell>
        </row>
        <row r="6168">
          <cell r="A6168" t="str">
            <v>PROPINSI            :</v>
          </cell>
          <cell r="C6168" t="str">
            <v>LAMPUNG</v>
          </cell>
          <cell r="E6168" t="str">
            <v>KODE</v>
          </cell>
          <cell r="F6168" t="str">
            <v>KOTA</v>
          </cell>
          <cell r="H6168" t="str">
            <v>KODE</v>
          </cell>
          <cell r="I6168" t="str">
            <v>DISIAPKAN OLEH :</v>
          </cell>
          <cell r="K6168" t="str">
            <v>TANGGAL</v>
          </cell>
        </row>
        <row r="6169">
          <cell r="E6169" t="str">
            <v>[071]</v>
          </cell>
          <cell r="F6169" t="str">
            <v>BANDAR LAMPUNG</v>
          </cell>
          <cell r="H6169" t="str">
            <v>[018]</v>
          </cell>
          <cell r="I6169" t="str">
            <v>CV.PUTRA SILIWANGI JAYA</v>
          </cell>
          <cell r="K6169" t="str">
            <v>05 Agustus 2005</v>
          </cell>
        </row>
        <row r="6172">
          <cell r="A6172" t="str">
            <v>URAIAN</v>
          </cell>
          <cell r="F6172" t="str">
            <v>ANGGAPAN / ASUMSI</v>
          </cell>
        </row>
        <row r="6173">
          <cell r="A6173" t="str">
            <v>1.</v>
          </cell>
          <cell r="B6173" t="str">
            <v>Material dihampar maksimum</v>
          </cell>
          <cell r="F6173" t="str">
            <v>1. Menggunakan alat berat ( 120 M3/hari )</v>
          </cell>
        </row>
        <row r="6174">
          <cell r="B6174" t="str">
            <v>tebal setiap lapis 20 cm</v>
          </cell>
          <cell r="F6174" t="str">
            <v>2. Harga material tergantung pada harga lokasi pekerjaan.</v>
          </cell>
        </row>
        <row r="6175">
          <cell r="A6175" t="str">
            <v>2.</v>
          </cell>
          <cell r="B6175" t="str">
            <v>Setiap lapis dipadatkan minimum 4 kali</v>
          </cell>
        </row>
        <row r="6176">
          <cell r="B6176" t="str">
            <v>lintasan dengan mesin gilas roda karet</v>
          </cell>
        </row>
        <row r="6177">
          <cell r="A6177" t="str">
            <v/>
          </cell>
        </row>
        <row r="6178">
          <cell r="A6178" t="str">
            <v/>
          </cell>
        </row>
        <row r="6183">
          <cell r="F6183" t="str">
            <v/>
          </cell>
        </row>
        <row r="6184">
          <cell r="B6184" t="str">
            <v>PEKERJA</v>
          </cell>
          <cell r="E6184" t="str">
            <v>JUMLAH</v>
          </cell>
          <cell r="F6184" t="str">
            <v>HARI</v>
          </cell>
          <cell r="G6184" t="str">
            <v>KODE</v>
          </cell>
          <cell r="H6184" t="str">
            <v>TOTAL VOL</v>
          </cell>
          <cell r="I6184" t="str">
            <v>UPAH</v>
          </cell>
          <cell r="J6184" t="str">
            <v>BIAYA</v>
          </cell>
          <cell r="K6184" t="str">
            <v>SUB TOTAL</v>
          </cell>
        </row>
        <row r="6185">
          <cell r="E6185" t="str">
            <v>ORANG</v>
          </cell>
          <cell r="H6185" t="str">
            <v>(Orang-hari)</v>
          </cell>
          <cell r="I6185" t="str">
            <v>(Rp/Org/Hari)</v>
          </cell>
          <cell r="J6185" t="str">
            <v>(Rp)</v>
          </cell>
          <cell r="K6185" t="str">
            <v>(Rp)</v>
          </cell>
        </row>
        <row r="6188">
          <cell r="A6188" t="str">
            <v>P</v>
          </cell>
          <cell r="B6188" t="str">
            <v>Buruh tak terampil</v>
          </cell>
          <cell r="E6188">
            <v>4</v>
          </cell>
          <cell r="F6188">
            <v>1</v>
          </cell>
          <cell r="G6188" t="str">
            <v>L 101</v>
          </cell>
          <cell r="H6188">
            <v>4</v>
          </cell>
          <cell r="I6188">
            <v>21800</v>
          </cell>
          <cell r="J6188">
            <v>87200</v>
          </cell>
        </row>
        <row r="6189">
          <cell r="A6189" t="str">
            <v>E</v>
          </cell>
          <cell r="B6189" t="str">
            <v>Mandor</v>
          </cell>
          <cell r="E6189">
            <v>1</v>
          </cell>
          <cell r="F6189">
            <v>1</v>
          </cell>
          <cell r="G6189" t="str">
            <v>L 061</v>
          </cell>
          <cell r="H6189">
            <v>1</v>
          </cell>
          <cell r="I6189">
            <v>34400</v>
          </cell>
          <cell r="J6189">
            <v>34400</v>
          </cell>
        </row>
        <row r="6190">
          <cell r="A6190" t="str">
            <v>K</v>
          </cell>
          <cell r="B6190" t="str">
            <v>Operator terampil</v>
          </cell>
          <cell r="E6190">
            <v>2</v>
          </cell>
          <cell r="F6190">
            <v>1</v>
          </cell>
          <cell r="G6190" t="str">
            <v>L 081</v>
          </cell>
          <cell r="H6190">
            <v>2</v>
          </cell>
          <cell r="I6190">
            <v>34400</v>
          </cell>
          <cell r="J6190">
            <v>68800</v>
          </cell>
        </row>
        <row r="6191">
          <cell r="A6191" t="str">
            <v>E</v>
          </cell>
          <cell r="B6191" t="str">
            <v>Pembatu operator</v>
          </cell>
          <cell r="E6191">
            <v>2</v>
          </cell>
          <cell r="F6191">
            <v>1</v>
          </cell>
          <cell r="G6191" t="str">
            <v>L 083</v>
          </cell>
          <cell r="H6191">
            <v>2</v>
          </cell>
          <cell r="I6191">
            <v>21800</v>
          </cell>
          <cell r="J6191">
            <v>43600</v>
          </cell>
        </row>
        <row r="6192">
          <cell r="A6192" t="str">
            <v>R</v>
          </cell>
          <cell r="B6192" t="str">
            <v>Supir terampil</v>
          </cell>
          <cell r="E6192">
            <v>1</v>
          </cell>
          <cell r="F6192">
            <v>1</v>
          </cell>
          <cell r="G6192" t="str">
            <v>L 091</v>
          </cell>
          <cell r="H6192">
            <v>1</v>
          </cell>
          <cell r="I6192">
            <v>29500</v>
          </cell>
          <cell r="J6192">
            <v>29500</v>
          </cell>
        </row>
        <row r="6193">
          <cell r="A6193" t="str">
            <v>J</v>
          </cell>
          <cell r="B6193" t="str">
            <v>Pembantu Supir</v>
          </cell>
          <cell r="E6193">
            <v>1</v>
          </cell>
          <cell r="F6193">
            <v>1</v>
          </cell>
          <cell r="G6193" t="str">
            <v>L 099</v>
          </cell>
          <cell r="H6193">
            <v>1</v>
          </cell>
          <cell r="I6193">
            <v>21800</v>
          </cell>
          <cell r="J6193">
            <v>21800</v>
          </cell>
        </row>
        <row r="6194">
          <cell r="A6194" t="str">
            <v>A</v>
          </cell>
        </row>
        <row r="6200">
          <cell r="D6200" t="str">
            <v>JUMLAH BIAYA UNTUK PEKERJA</v>
          </cell>
          <cell r="J6200" t="str">
            <v>PEKERJA (I+II)</v>
          </cell>
          <cell r="L6200">
            <v>285300</v>
          </cell>
        </row>
        <row r="6201">
          <cell r="B6201" t="str">
            <v>MATERIAL</v>
          </cell>
          <cell r="F6201" t="str">
            <v>SATUAN</v>
          </cell>
          <cell r="G6201" t="str">
            <v>KODE</v>
          </cell>
          <cell r="H6201" t="str">
            <v>TOTAL VOL</v>
          </cell>
          <cell r="I6201" t="str">
            <v>HARGA SATUAN</v>
          </cell>
          <cell r="J6201" t="str">
            <v>BIAYA</v>
          </cell>
          <cell r="K6201" t="str">
            <v>SUB TOTAL</v>
          </cell>
        </row>
        <row r="6202">
          <cell r="I6202" t="str">
            <v>(Rp)</v>
          </cell>
          <cell r="J6202" t="str">
            <v>(Rp)</v>
          </cell>
          <cell r="K6202" t="str">
            <v>(Rp)</v>
          </cell>
        </row>
        <row r="6203">
          <cell r="A6203" t="str">
            <v/>
          </cell>
        </row>
        <row r="6204">
          <cell r="A6204" t="str">
            <v>M</v>
          </cell>
        </row>
        <row r="6205">
          <cell r="A6205" t="str">
            <v>A</v>
          </cell>
        </row>
        <row r="6206">
          <cell r="A6206" t="str">
            <v>T</v>
          </cell>
          <cell r="B6206" t="str">
            <v>Alat Bantu (set @ 3 alat )</v>
          </cell>
          <cell r="F6206" t="str">
            <v>set</v>
          </cell>
          <cell r="G6206" t="str">
            <v>M 170</v>
          </cell>
          <cell r="H6206">
            <v>0.16</v>
          </cell>
          <cell r="I6206">
            <v>49935</v>
          </cell>
          <cell r="J6206">
            <v>7989.6</v>
          </cell>
        </row>
        <row r="6207">
          <cell r="A6207" t="str">
            <v>E</v>
          </cell>
        </row>
        <row r="6208">
          <cell r="A6208" t="str">
            <v>R</v>
          </cell>
        </row>
        <row r="6209">
          <cell r="A6209" t="str">
            <v>I</v>
          </cell>
        </row>
        <row r="6210">
          <cell r="A6210" t="str">
            <v>A</v>
          </cell>
        </row>
        <row r="6211">
          <cell r="A6211" t="str">
            <v>L</v>
          </cell>
        </row>
        <row r="6213">
          <cell r="B6213" t="str">
            <v/>
          </cell>
          <cell r="E6213" t="str">
            <v/>
          </cell>
          <cell r="F6213" t="str">
            <v/>
          </cell>
          <cell r="G6213" t="str">
            <v/>
          </cell>
          <cell r="H6213" t="str">
            <v/>
          </cell>
          <cell r="I6213" t="str">
            <v/>
          </cell>
        </row>
        <row r="6214">
          <cell r="B6214" t="str">
            <v/>
          </cell>
          <cell r="E6214" t="str">
            <v/>
          </cell>
          <cell r="F6214" t="str">
            <v/>
          </cell>
          <cell r="G6214" t="str">
            <v/>
          </cell>
          <cell r="H6214" t="str">
            <v/>
          </cell>
          <cell r="I6214" t="str">
            <v/>
          </cell>
        </row>
        <row r="6215">
          <cell r="B6215" t="str">
            <v/>
          </cell>
          <cell r="E6215" t="str">
            <v/>
          </cell>
          <cell r="F6215" t="str">
            <v/>
          </cell>
          <cell r="G6215" t="str">
            <v/>
          </cell>
          <cell r="H6215" t="str">
            <v/>
          </cell>
          <cell r="I6215" t="str">
            <v/>
          </cell>
        </row>
        <row r="6216">
          <cell r="B6216" t="str">
            <v/>
          </cell>
          <cell r="E6216" t="str">
            <v/>
          </cell>
          <cell r="F6216" t="str">
            <v/>
          </cell>
          <cell r="G6216" t="str">
            <v/>
          </cell>
          <cell r="H6216" t="str">
            <v/>
          </cell>
          <cell r="I6216" t="str">
            <v/>
          </cell>
        </row>
        <row r="6218">
          <cell r="D6218" t="str">
            <v>JUMLAH BIAYA UNTUK MATERIAL</v>
          </cell>
          <cell r="J6218" t="str">
            <v>MATERIAL (I+II)</v>
          </cell>
          <cell r="L6218">
            <v>7990</v>
          </cell>
        </row>
        <row r="6219">
          <cell r="B6219" t="str">
            <v>PERALATAN</v>
          </cell>
          <cell r="E6219" t="str">
            <v>JUMLAH</v>
          </cell>
          <cell r="F6219" t="str">
            <v>HARI</v>
          </cell>
          <cell r="G6219" t="str">
            <v>KODE</v>
          </cell>
          <cell r="H6219" t="str">
            <v>JAM KERJA</v>
          </cell>
          <cell r="I6219" t="str">
            <v>HARGA</v>
          </cell>
          <cell r="J6219" t="str">
            <v>BIAYA</v>
          </cell>
          <cell r="K6219" t="str">
            <v>SUB TOTAL</v>
          </cell>
        </row>
        <row r="6220">
          <cell r="E6220" t="str">
            <v>ALAT</v>
          </cell>
          <cell r="F6220" t="str">
            <v>KERJA</v>
          </cell>
          <cell r="I6220" t="str">
            <v>(Rp/Jam)</v>
          </cell>
          <cell r="J6220" t="str">
            <v>(Rp)</v>
          </cell>
          <cell r="K6220" t="str">
            <v>(Rp)</v>
          </cell>
        </row>
        <row r="6222">
          <cell r="A6222" t="str">
            <v>P</v>
          </cell>
          <cell r="B6222" t="str">
            <v>Motor Grader 100 HP</v>
          </cell>
          <cell r="E6222">
            <v>1</v>
          </cell>
          <cell r="F6222">
            <v>1</v>
          </cell>
          <cell r="G6222" t="str">
            <v>E 010</v>
          </cell>
          <cell r="H6222">
            <v>5</v>
          </cell>
          <cell r="I6222">
            <v>149510</v>
          </cell>
          <cell r="J6222">
            <v>747550</v>
          </cell>
        </row>
        <row r="6223">
          <cell r="A6223" t="str">
            <v>E</v>
          </cell>
          <cell r="B6223" t="str">
            <v>Mesin gilas roda karet 8 - 15 T</v>
          </cell>
          <cell r="E6223">
            <v>1</v>
          </cell>
          <cell r="F6223">
            <v>1</v>
          </cell>
          <cell r="G6223" t="str">
            <v>E 084</v>
          </cell>
          <cell r="H6223">
            <v>5</v>
          </cell>
          <cell r="I6223">
            <v>149510</v>
          </cell>
          <cell r="J6223">
            <v>747550</v>
          </cell>
        </row>
        <row r="6224">
          <cell r="A6224" t="str">
            <v>R</v>
          </cell>
          <cell r="B6224" t="str">
            <v>Truk tangki air 115 HP</v>
          </cell>
          <cell r="E6224">
            <v>1</v>
          </cell>
          <cell r="F6224">
            <v>1</v>
          </cell>
          <cell r="G6224" t="str">
            <v>E 182</v>
          </cell>
          <cell r="H6224">
            <v>5</v>
          </cell>
          <cell r="I6224">
            <v>64790</v>
          </cell>
          <cell r="J6224">
            <v>323950</v>
          </cell>
        </row>
        <row r="6225">
          <cell r="A6225" t="str">
            <v>A</v>
          </cell>
        </row>
        <row r="6226">
          <cell r="A6226" t="str">
            <v>L</v>
          </cell>
        </row>
        <row r="6227">
          <cell r="A6227" t="str">
            <v>A</v>
          </cell>
        </row>
        <row r="6228">
          <cell r="A6228" t="str">
            <v>T</v>
          </cell>
        </row>
        <row r="6229">
          <cell r="A6229" t="str">
            <v>A</v>
          </cell>
        </row>
        <row r="6230">
          <cell r="A6230" t="str">
            <v>N</v>
          </cell>
        </row>
        <row r="6238">
          <cell r="D6238" t="str">
            <v>JUMLAH BIAYA UNTUK PERALATAN</v>
          </cell>
          <cell r="J6238" t="str">
            <v>PERALATAN (I+II)</v>
          </cell>
          <cell r="L6238">
            <v>1819050</v>
          </cell>
        </row>
        <row r="6239">
          <cell r="J6239" t="str">
            <v>T O T A L (Rp)</v>
          </cell>
          <cell r="L6239">
            <v>2112340</v>
          </cell>
        </row>
        <row r="6241">
          <cell r="B6241" t="str">
            <v>VOLUME  :</v>
          </cell>
          <cell r="C6241">
            <v>120</v>
          </cell>
          <cell r="E6241" t="str">
            <v>SATUAN  :</v>
          </cell>
          <cell r="F6241" t="str">
            <v>M3</v>
          </cell>
          <cell r="H6241" t="str">
            <v>HARGA SATUAN  :</v>
          </cell>
          <cell r="I6241">
            <v>17602.830000000002</v>
          </cell>
          <cell r="J6241" t="str">
            <v>per</v>
          </cell>
          <cell r="K6241" t="str">
            <v>M3</v>
          </cell>
        </row>
      </sheetData>
      <sheetData sheetId="7">
        <row r="2">
          <cell r="A2" t="str">
            <v>ANALISA HARGA SATUAN</v>
          </cell>
        </row>
        <row r="3">
          <cell r="A3" t="str">
            <v>PATOK PENUNTUN</v>
          </cell>
        </row>
        <row r="4">
          <cell r="A4" t="str">
            <v>(MENGGUNAKAN BURUH)</v>
          </cell>
          <cell r="L4" t="str">
            <v>Supl I</v>
          </cell>
        </row>
        <row r="6">
          <cell r="A6" t="str">
            <v>PROPINSI            :</v>
          </cell>
          <cell r="C6" t="str">
            <v>LAMPUNG</v>
          </cell>
          <cell r="E6" t="str">
            <v>KODE</v>
          </cell>
          <cell r="F6" t="str">
            <v>KOTA</v>
          </cell>
          <cell r="H6" t="str">
            <v>KODE</v>
          </cell>
          <cell r="I6" t="str">
            <v>DISIAPKAN OLEH :</v>
          </cell>
          <cell r="K6" t="str">
            <v>TANGGAL</v>
          </cell>
        </row>
        <row r="7">
          <cell r="E7" t="str">
            <v>[071]</v>
          </cell>
          <cell r="F7" t="str">
            <v>BANDAR LAMPUNG</v>
          </cell>
          <cell r="H7" t="str">
            <v>[018]</v>
          </cell>
          <cell r="I7" t="str">
            <v>CV.PUTRA SILIWANGI JAYA</v>
          </cell>
          <cell r="K7" t="str">
            <v>05 Agustus 2005</v>
          </cell>
        </row>
        <row r="10">
          <cell r="A10" t="str">
            <v>URAIAN</v>
          </cell>
          <cell r="F10" t="str">
            <v>ANGGAPAN / ASUMSI</v>
          </cell>
        </row>
        <row r="11">
          <cell r="A11" t="str">
            <v>1.</v>
          </cell>
          <cell r="B11" t="str">
            <v>Dimensi Patok Penuntun</v>
          </cell>
          <cell r="F11" t="str">
            <v>1. Cetakan dari kayu dibentuk sesuai ukuran standar</v>
          </cell>
        </row>
        <row r="12">
          <cell r="B12" t="str">
            <v>=15 cm x 15 cm x 1.5 m</v>
          </cell>
          <cell r="F12" t="str">
            <v>2. Beton menggunakan mutu K-175</v>
          </cell>
        </row>
        <row r="13">
          <cell r="F13" t="str">
            <v>3. Besi tulangan dipasang sesuai standar</v>
          </cell>
        </row>
        <row r="14">
          <cell r="F14" t="str">
            <v>4. Hasil cetakan patok dirapihkan oleh pekerja lalu permukaannya di cat</v>
          </cell>
        </row>
        <row r="15">
          <cell r="F15" t="str">
            <v>warna hitam dan putih</v>
          </cell>
        </row>
        <row r="16">
          <cell r="F16" t="str">
            <v>5. Satu hari dihasilkan 10 buah patok</v>
          </cell>
        </row>
        <row r="23">
          <cell r="B23" t="str">
            <v>PEKERJA</v>
          </cell>
          <cell r="E23" t="str">
            <v>JUMLAH</v>
          </cell>
          <cell r="F23" t="str">
            <v>HARI</v>
          </cell>
          <cell r="G23" t="str">
            <v>KODE</v>
          </cell>
          <cell r="H23" t="str">
            <v>TOTAL VOL</v>
          </cell>
          <cell r="I23" t="str">
            <v>UPAH</v>
          </cell>
          <cell r="J23" t="str">
            <v>BIAYA</v>
          </cell>
          <cell r="K23" t="str">
            <v>SUB TOTAL</v>
          </cell>
        </row>
        <row r="24">
          <cell r="E24" t="str">
            <v>ORANG</v>
          </cell>
          <cell r="H24" t="str">
            <v>(Orang-hari)</v>
          </cell>
          <cell r="I24" t="str">
            <v>(Rp/Org/Hari)</v>
          </cell>
          <cell r="J24" t="str">
            <v>(Rp)</v>
          </cell>
          <cell r="K24" t="str">
            <v>(Rp)</v>
          </cell>
        </row>
        <row r="26">
          <cell r="A26" t="str">
            <v>P</v>
          </cell>
          <cell r="B26" t="str">
            <v>Buruh tak terampil</v>
          </cell>
          <cell r="E26">
            <v>3</v>
          </cell>
          <cell r="F26">
            <v>1</v>
          </cell>
          <cell r="G26" t="str">
            <v>L 101</v>
          </cell>
          <cell r="H26">
            <v>3</v>
          </cell>
          <cell r="I26">
            <v>21800</v>
          </cell>
          <cell r="J26">
            <v>65400</v>
          </cell>
        </row>
        <row r="27">
          <cell r="A27" t="str">
            <v>E</v>
          </cell>
          <cell r="B27" t="str">
            <v>Mandor</v>
          </cell>
          <cell r="E27">
            <v>1</v>
          </cell>
          <cell r="F27">
            <v>1</v>
          </cell>
          <cell r="G27" t="str">
            <v>L 061</v>
          </cell>
          <cell r="H27">
            <v>1</v>
          </cell>
          <cell r="I27">
            <v>34400</v>
          </cell>
          <cell r="J27">
            <v>34400</v>
          </cell>
        </row>
        <row r="28">
          <cell r="A28" t="str">
            <v>K</v>
          </cell>
          <cell r="B28" t="str">
            <v>Kepala Tukang</v>
          </cell>
          <cell r="E28">
            <v>1</v>
          </cell>
          <cell r="F28">
            <v>1</v>
          </cell>
          <cell r="G28" t="str">
            <v>L 073</v>
          </cell>
          <cell r="H28">
            <v>1</v>
          </cell>
          <cell r="I28">
            <v>34400</v>
          </cell>
          <cell r="J28">
            <v>34400</v>
          </cell>
        </row>
        <row r="29">
          <cell r="A29" t="str">
            <v>E</v>
          </cell>
          <cell r="B29" t="str">
            <v>Buruh terampil</v>
          </cell>
          <cell r="E29">
            <v>1</v>
          </cell>
          <cell r="F29">
            <v>1</v>
          </cell>
          <cell r="G29" t="str">
            <v>L 106</v>
          </cell>
          <cell r="H29">
            <v>1</v>
          </cell>
          <cell r="I29">
            <v>24800</v>
          </cell>
          <cell r="J29">
            <v>24800</v>
          </cell>
        </row>
        <row r="30">
          <cell r="A30" t="str">
            <v>R</v>
          </cell>
        </row>
        <row r="31">
          <cell r="A31" t="str">
            <v>J</v>
          </cell>
        </row>
        <row r="32">
          <cell r="A32" t="str">
            <v>A</v>
          </cell>
        </row>
        <row r="40">
          <cell r="D40" t="str">
            <v>JUMLAH BIAYA UNTUK PEKERJA</v>
          </cell>
          <cell r="L40">
            <v>159000</v>
          </cell>
        </row>
        <row r="41">
          <cell r="B41" t="str">
            <v>MATERIAL</v>
          </cell>
          <cell r="F41" t="str">
            <v>SATUAN</v>
          </cell>
          <cell r="G41" t="str">
            <v>KODE</v>
          </cell>
          <cell r="H41" t="str">
            <v>TOTAL VOL</v>
          </cell>
          <cell r="I41" t="str">
            <v>HARGA SATUAN</v>
          </cell>
          <cell r="J41" t="str">
            <v>BIAYA</v>
          </cell>
          <cell r="K41" t="str">
            <v>SUB TOTAL</v>
          </cell>
        </row>
        <row r="42">
          <cell r="I42" t="str">
            <v>(Rp/Satuan)</v>
          </cell>
          <cell r="J42" t="str">
            <v>(Rp)</v>
          </cell>
          <cell r="K42" t="str">
            <v>(Rp)</v>
          </cell>
        </row>
        <row r="44">
          <cell r="A44" t="str">
            <v>M</v>
          </cell>
          <cell r="B44" t="str">
            <v>Beton mutu K-175</v>
          </cell>
          <cell r="F44" t="str">
            <v>M3</v>
          </cell>
          <cell r="G44" t="str">
            <v>K 721</v>
          </cell>
          <cell r="H44">
            <v>0.33750000000000002</v>
          </cell>
          <cell r="I44">
            <v>503093.08</v>
          </cell>
          <cell r="J44">
            <v>169793.91</v>
          </cell>
        </row>
        <row r="45">
          <cell r="A45" t="str">
            <v>A</v>
          </cell>
          <cell r="B45" t="str">
            <v>Acuan Beton</v>
          </cell>
          <cell r="F45" t="str">
            <v>M2</v>
          </cell>
          <cell r="G45" t="str">
            <v>K 710</v>
          </cell>
          <cell r="H45">
            <v>9</v>
          </cell>
          <cell r="I45">
            <v>49922.3</v>
          </cell>
          <cell r="J45">
            <v>449300.7</v>
          </cell>
        </row>
        <row r="46">
          <cell r="A46" t="str">
            <v>T</v>
          </cell>
          <cell r="B46" t="str">
            <v>Baja Tulangan beton</v>
          </cell>
          <cell r="F46" t="str">
            <v>Kg</v>
          </cell>
          <cell r="G46" t="str">
            <v>M 167</v>
          </cell>
          <cell r="H46">
            <v>37.125</v>
          </cell>
          <cell r="I46">
            <v>8860</v>
          </cell>
          <cell r="J46">
            <v>328927.5</v>
          </cell>
        </row>
        <row r="47">
          <cell r="A47" t="str">
            <v>E</v>
          </cell>
          <cell r="B47" t="str">
            <v>Pengecatan</v>
          </cell>
          <cell r="F47" t="str">
            <v>M2</v>
          </cell>
          <cell r="G47" t="str">
            <v>Supl. IX.b</v>
          </cell>
          <cell r="H47">
            <v>0.33750000000000002</v>
          </cell>
          <cell r="I47">
            <v>16413.09</v>
          </cell>
          <cell r="J47">
            <v>5539.42</v>
          </cell>
        </row>
        <row r="48">
          <cell r="A48" t="str">
            <v>R</v>
          </cell>
        </row>
        <row r="49">
          <cell r="A49" t="str">
            <v>I</v>
          </cell>
        </row>
        <row r="50">
          <cell r="A50" t="str">
            <v>A</v>
          </cell>
        </row>
        <row r="51">
          <cell r="A51" t="str">
            <v>L</v>
          </cell>
        </row>
        <row r="58">
          <cell r="D58" t="str">
            <v>JUMLAH BIAYA UNTUK MATERIAL</v>
          </cell>
          <cell r="L58">
            <v>953561.53</v>
          </cell>
        </row>
        <row r="59">
          <cell r="B59" t="str">
            <v>PERALATAN</v>
          </cell>
          <cell r="E59" t="str">
            <v>JUMLAH</v>
          </cell>
          <cell r="F59" t="str">
            <v>HARI</v>
          </cell>
          <cell r="G59" t="str">
            <v>KODE</v>
          </cell>
          <cell r="H59" t="str">
            <v>JAM KERJA</v>
          </cell>
          <cell r="I59" t="str">
            <v>HARGA</v>
          </cell>
          <cell r="J59" t="str">
            <v>BIAYA</v>
          </cell>
          <cell r="K59" t="str">
            <v>SUB TOTAL</v>
          </cell>
        </row>
        <row r="60">
          <cell r="E60" t="str">
            <v>ALAT</v>
          </cell>
          <cell r="F60" t="str">
            <v>KERJA</v>
          </cell>
          <cell r="I60" t="str">
            <v>(Rp/Jam)</v>
          </cell>
          <cell r="J60" t="str">
            <v>(Rp)</v>
          </cell>
          <cell r="K60" t="str">
            <v>(Rp)</v>
          </cell>
        </row>
        <row r="62">
          <cell r="A62" t="str">
            <v>P</v>
          </cell>
        </row>
        <row r="63">
          <cell r="A63" t="str">
            <v>E</v>
          </cell>
        </row>
        <row r="64">
          <cell r="A64" t="str">
            <v>R</v>
          </cell>
        </row>
        <row r="65">
          <cell r="A65" t="str">
            <v>A</v>
          </cell>
        </row>
        <row r="66">
          <cell r="A66" t="str">
            <v>L</v>
          </cell>
        </row>
        <row r="67">
          <cell r="A67" t="str">
            <v>A</v>
          </cell>
        </row>
        <row r="68">
          <cell r="A68" t="str">
            <v>T</v>
          </cell>
        </row>
        <row r="69">
          <cell r="A69" t="str">
            <v>A</v>
          </cell>
        </row>
        <row r="70">
          <cell r="A70" t="str">
            <v>N</v>
          </cell>
        </row>
        <row r="76">
          <cell r="D76" t="str">
            <v>JUMLAH BIAYA UNTUK PERALATAN</v>
          </cell>
          <cell r="L76">
            <v>0</v>
          </cell>
        </row>
        <row r="77">
          <cell r="J77" t="str">
            <v>T O T A L (Rp)</v>
          </cell>
          <cell r="L77">
            <v>1112561.53</v>
          </cell>
        </row>
        <row r="79">
          <cell r="B79" t="str">
            <v>VOLUME  :</v>
          </cell>
          <cell r="C79">
            <v>10</v>
          </cell>
          <cell r="E79" t="str">
            <v>SATUAN  :</v>
          </cell>
          <cell r="F79" t="str">
            <v>Buah</v>
          </cell>
          <cell r="H79" t="str">
            <v>HARGA SATUAN  :</v>
          </cell>
          <cell r="I79">
            <v>111256</v>
          </cell>
          <cell r="J79" t="str">
            <v>per</v>
          </cell>
          <cell r="K79" t="str">
            <v>Bh</v>
          </cell>
        </row>
        <row r="82">
          <cell r="A82" t="str">
            <v>ANALISA HARGA SATUAN</v>
          </cell>
          <cell r="L82" t="str">
            <v>KODE</v>
          </cell>
        </row>
        <row r="83">
          <cell r="A83" t="str">
            <v>EXPANTION JOINT</v>
          </cell>
        </row>
        <row r="84">
          <cell r="A84" t="str">
            <v>(MENGGUNAKAN BURUH)</v>
          </cell>
          <cell r="L84" t="str">
            <v>Supl II</v>
          </cell>
        </row>
        <row r="86">
          <cell r="A86" t="str">
            <v>PROPINSI            :</v>
          </cell>
          <cell r="C86" t="str">
            <v>LAMPUNG</v>
          </cell>
          <cell r="E86" t="str">
            <v>KODE</v>
          </cell>
          <cell r="F86" t="str">
            <v>KOTA</v>
          </cell>
          <cell r="H86" t="str">
            <v>KODE</v>
          </cell>
          <cell r="I86" t="str">
            <v>DISIAPKAN OLEH :</v>
          </cell>
          <cell r="K86" t="str">
            <v>TANGGAL</v>
          </cell>
        </row>
        <row r="87">
          <cell r="E87" t="str">
            <v>[071]</v>
          </cell>
          <cell r="F87" t="str">
            <v>BANDAR LAMPUNG</v>
          </cell>
          <cell r="H87" t="str">
            <v>[018]</v>
          </cell>
          <cell r="I87" t="str">
            <v>CV.PUTRA SILIWANGI JAYA</v>
          </cell>
          <cell r="K87" t="str">
            <v>05 Agustus 2005</v>
          </cell>
        </row>
        <row r="90">
          <cell r="A90" t="str">
            <v>URAIAN</v>
          </cell>
          <cell r="F90" t="str">
            <v>ANGGAPAN / ASUMSI</v>
          </cell>
        </row>
        <row r="91">
          <cell r="A91" t="str">
            <v>1.</v>
          </cell>
          <cell r="B91" t="str">
            <v>Baja Propfile yang digunakan adalah</v>
          </cell>
          <cell r="F91" t="str">
            <v>1. 30 m besi siku dikirim oleh pemasok</v>
          </cell>
        </row>
        <row r="92">
          <cell r="B92" t="str">
            <v>profil siku L 100 100 10</v>
          </cell>
          <cell r="F92" t="str">
            <v>2. Penyusutan akibat pemotongan 10 %</v>
          </cell>
        </row>
        <row r="93">
          <cell r="F93" t="str">
            <v>3. Baja struktur dipotong, dibengkokkan dengan menggunakan mesin las</v>
          </cell>
        </row>
        <row r="94">
          <cell r="F94" t="str">
            <v>4. Profil Siku di beri anker dari besi tulangan</v>
          </cell>
        </row>
        <row r="95">
          <cell r="F95" t="str">
            <v>5. Perekatan Anker dilakukan dengan pengelasan</v>
          </cell>
        </row>
        <row r="96">
          <cell r="F96" t="str">
            <v>6. Harga kawat las dianggap termasuk dalam sewa mesin las</v>
          </cell>
        </row>
        <row r="103">
          <cell r="B103" t="str">
            <v>PEKERJA</v>
          </cell>
          <cell r="E103" t="str">
            <v>JUMLAH</v>
          </cell>
          <cell r="F103" t="str">
            <v>HARI</v>
          </cell>
          <cell r="G103" t="str">
            <v>KODE</v>
          </cell>
          <cell r="H103" t="str">
            <v>TOTAL VOL</v>
          </cell>
          <cell r="I103" t="str">
            <v>UPAH</v>
          </cell>
          <cell r="J103" t="str">
            <v>BIAYA</v>
          </cell>
          <cell r="K103" t="str">
            <v>SUB TOTAL</v>
          </cell>
        </row>
        <row r="104">
          <cell r="E104" t="str">
            <v>ORANG</v>
          </cell>
          <cell r="H104" t="str">
            <v>(Orang-hari)</v>
          </cell>
          <cell r="I104" t="str">
            <v>(Rp/Org/Hari)</v>
          </cell>
          <cell r="J104" t="str">
            <v>(Rp)</v>
          </cell>
          <cell r="K104" t="str">
            <v>(Rp)</v>
          </cell>
        </row>
        <row r="106">
          <cell r="A106" t="str">
            <v>P</v>
          </cell>
          <cell r="B106" t="str">
            <v>Buruh tak terampil</v>
          </cell>
          <cell r="E106">
            <v>3</v>
          </cell>
          <cell r="F106">
            <v>1</v>
          </cell>
          <cell r="G106" t="str">
            <v>L 101</v>
          </cell>
          <cell r="H106">
            <v>3</v>
          </cell>
          <cell r="I106">
            <v>21800</v>
          </cell>
          <cell r="J106">
            <v>65400</v>
          </cell>
        </row>
        <row r="107">
          <cell r="A107" t="str">
            <v>E</v>
          </cell>
          <cell r="B107" t="str">
            <v>Mandor</v>
          </cell>
          <cell r="E107">
            <v>1</v>
          </cell>
          <cell r="F107">
            <v>1</v>
          </cell>
          <cell r="G107" t="str">
            <v>L 061</v>
          </cell>
          <cell r="H107">
            <v>1</v>
          </cell>
          <cell r="I107">
            <v>34400</v>
          </cell>
          <cell r="J107">
            <v>34400</v>
          </cell>
        </row>
        <row r="108">
          <cell r="A108" t="str">
            <v>K</v>
          </cell>
          <cell r="B108" t="str">
            <v>Kepala Tukang</v>
          </cell>
          <cell r="E108">
            <v>1</v>
          </cell>
          <cell r="F108">
            <v>1</v>
          </cell>
          <cell r="G108" t="str">
            <v>L 073</v>
          </cell>
          <cell r="H108">
            <v>1</v>
          </cell>
          <cell r="I108">
            <v>34400</v>
          </cell>
          <cell r="J108">
            <v>34400</v>
          </cell>
        </row>
        <row r="109">
          <cell r="A109" t="str">
            <v>E</v>
          </cell>
          <cell r="B109" t="str">
            <v>Buruh terampil</v>
          </cell>
          <cell r="E109">
            <v>1</v>
          </cell>
          <cell r="F109">
            <v>1</v>
          </cell>
          <cell r="G109" t="str">
            <v>L 106</v>
          </cell>
          <cell r="H109">
            <v>1</v>
          </cell>
          <cell r="I109">
            <v>24800</v>
          </cell>
          <cell r="J109">
            <v>24800</v>
          </cell>
        </row>
        <row r="110">
          <cell r="A110" t="str">
            <v>R</v>
          </cell>
        </row>
        <row r="111">
          <cell r="A111" t="str">
            <v>J</v>
          </cell>
        </row>
        <row r="112">
          <cell r="A112" t="str">
            <v>A</v>
          </cell>
        </row>
        <row r="120">
          <cell r="D120" t="str">
            <v>JUMLAH BIAYA UNTUK PEKERJA</v>
          </cell>
          <cell r="L120">
            <v>159000</v>
          </cell>
        </row>
        <row r="121">
          <cell r="B121" t="str">
            <v>MATERIAL</v>
          </cell>
          <cell r="F121" t="str">
            <v>SATUAN</v>
          </cell>
          <cell r="G121" t="str">
            <v>KODE</v>
          </cell>
          <cell r="H121" t="str">
            <v>TOTAL VOL</v>
          </cell>
          <cell r="I121" t="str">
            <v>HARGA SATUAN</v>
          </cell>
          <cell r="J121" t="str">
            <v>BIAYA</v>
          </cell>
          <cell r="K121" t="str">
            <v>SUB TOTAL</v>
          </cell>
        </row>
        <row r="122">
          <cell r="I122" t="str">
            <v>(Rp/Satuan)</v>
          </cell>
          <cell r="J122" t="str">
            <v>(Rp)</v>
          </cell>
          <cell r="K122" t="str">
            <v>(Rp)</v>
          </cell>
        </row>
        <row r="124">
          <cell r="A124" t="str">
            <v>M</v>
          </cell>
          <cell r="B124" t="str">
            <v>Baja Siku 100.100.10</v>
          </cell>
          <cell r="F124" t="str">
            <v>M'</v>
          </cell>
          <cell r="G124" t="str">
            <v>B 011</v>
          </cell>
          <cell r="H124">
            <v>33</v>
          </cell>
          <cell r="I124">
            <v>44940</v>
          </cell>
          <cell r="J124">
            <v>1483020</v>
          </cell>
        </row>
        <row r="125">
          <cell r="A125" t="str">
            <v>A</v>
          </cell>
          <cell r="B125" t="str">
            <v>Alat bantu ( set @ 3 alat)</v>
          </cell>
          <cell r="F125" t="str">
            <v>Set</v>
          </cell>
          <cell r="G125" t="str">
            <v>M 170</v>
          </cell>
          <cell r="H125">
            <v>1</v>
          </cell>
          <cell r="I125">
            <v>49935</v>
          </cell>
          <cell r="J125">
            <v>49935</v>
          </cell>
        </row>
        <row r="126">
          <cell r="A126" t="str">
            <v>T</v>
          </cell>
          <cell r="B126" t="str">
            <v>Baja Tulangan beton</v>
          </cell>
          <cell r="F126" t="str">
            <v>Kg</v>
          </cell>
          <cell r="G126" t="str">
            <v>M 167</v>
          </cell>
          <cell r="H126">
            <v>43.56</v>
          </cell>
          <cell r="I126">
            <v>8860</v>
          </cell>
          <cell r="J126">
            <v>385941.6</v>
          </cell>
        </row>
        <row r="127">
          <cell r="A127" t="str">
            <v>E</v>
          </cell>
        </row>
        <row r="128">
          <cell r="A128" t="str">
            <v>R</v>
          </cell>
        </row>
        <row r="129">
          <cell r="A129" t="str">
            <v>I</v>
          </cell>
        </row>
        <row r="130">
          <cell r="A130" t="str">
            <v>A</v>
          </cell>
        </row>
        <row r="131">
          <cell r="A131" t="str">
            <v>L</v>
          </cell>
        </row>
        <row r="138">
          <cell r="D138" t="str">
            <v>JUMLAH BIAYA UNTUK MATERIAL</v>
          </cell>
          <cell r="L138">
            <v>1918896.6</v>
          </cell>
        </row>
        <row r="139">
          <cell r="B139" t="str">
            <v>PERALATAN</v>
          </cell>
          <cell r="E139" t="str">
            <v>JUMLAH</v>
          </cell>
          <cell r="F139" t="str">
            <v>HARI</v>
          </cell>
          <cell r="G139" t="str">
            <v>KODE</v>
          </cell>
          <cell r="H139" t="str">
            <v>JAM KERJA</v>
          </cell>
          <cell r="I139" t="str">
            <v>HARGA</v>
          </cell>
          <cell r="J139" t="str">
            <v>BIAYA</v>
          </cell>
          <cell r="K139" t="str">
            <v>SUB TOTAL</v>
          </cell>
        </row>
        <row r="140">
          <cell r="E140" t="str">
            <v>ALAT</v>
          </cell>
          <cell r="F140" t="str">
            <v>KERJA</v>
          </cell>
          <cell r="I140" t="str">
            <v>(Rp/Jam)</v>
          </cell>
          <cell r="J140" t="str">
            <v>(Rp)</v>
          </cell>
          <cell r="K140" t="str">
            <v>(Rp)</v>
          </cell>
        </row>
        <row r="142">
          <cell r="A142" t="str">
            <v>P</v>
          </cell>
          <cell r="B142" t="str">
            <v>Mesin las</v>
          </cell>
          <cell r="E142">
            <v>1</v>
          </cell>
          <cell r="F142">
            <v>1</v>
          </cell>
          <cell r="G142" t="str">
            <v>E 402</v>
          </cell>
          <cell r="H142">
            <v>6</v>
          </cell>
          <cell r="I142">
            <v>24960</v>
          </cell>
          <cell r="J142">
            <v>149760</v>
          </cell>
        </row>
        <row r="143">
          <cell r="A143" t="str">
            <v>E</v>
          </cell>
        </row>
        <row r="144">
          <cell r="A144" t="str">
            <v>R</v>
          </cell>
        </row>
        <row r="145">
          <cell r="A145" t="str">
            <v>A</v>
          </cell>
        </row>
        <row r="146">
          <cell r="A146" t="str">
            <v>L</v>
          </cell>
        </row>
        <row r="147">
          <cell r="A147" t="str">
            <v>A</v>
          </cell>
        </row>
        <row r="148">
          <cell r="A148" t="str">
            <v>T</v>
          </cell>
        </row>
        <row r="149">
          <cell r="A149" t="str">
            <v>A</v>
          </cell>
        </row>
        <row r="150">
          <cell r="A150" t="str">
            <v>N</v>
          </cell>
        </row>
        <row r="156">
          <cell r="D156" t="str">
            <v>JUMLAH BIAYA UNTUK PERALATAN</v>
          </cell>
          <cell r="L156">
            <v>149760</v>
          </cell>
        </row>
        <row r="157">
          <cell r="J157" t="str">
            <v>T O T A L (Rp)</v>
          </cell>
          <cell r="L157">
            <v>2227656.6</v>
          </cell>
        </row>
        <row r="159">
          <cell r="B159" t="str">
            <v>VOLUME  :</v>
          </cell>
          <cell r="C159">
            <v>30</v>
          </cell>
          <cell r="E159" t="str">
            <v>SATUAN  :</v>
          </cell>
          <cell r="F159" t="str">
            <v>M'</v>
          </cell>
          <cell r="H159" t="str">
            <v>HARGA SATUAN  :</v>
          </cell>
          <cell r="I159">
            <v>74255</v>
          </cell>
          <cell r="J159" t="str">
            <v>per</v>
          </cell>
          <cell r="K159" t="str">
            <v>M'</v>
          </cell>
        </row>
        <row r="162">
          <cell r="A162" t="str">
            <v>ANALISA HARGA SATUAN</v>
          </cell>
          <cell r="L162" t="str">
            <v>KODE</v>
          </cell>
        </row>
        <row r="163">
          <cell r="A163" t="str">
            <v>PIPA SANDARAN</v>
          </cell>
        </row>
        <row r="164">
          <cell r="A164" t="str">
            <v>(MENGGUNAKAN BURUH)</v>
          </cell>
          <cell r="L164" t="str">
            <v>Supl III</v>
          </cell>
        </row>
        <row r="166">
          <cell r="A166" t="str">
            <v>PROPINSI            :</v>
          </cell>
          <cell r="C166" t="str">
            <v>LAMPUNG</v>
          </cell>
          <cell r="E166" t="str">
            <v>KODE</v>
          </cell>
          <cell r="F166" t="str">
            <v>KOTA</v>
          </cell>
          <cell r="H166" t="str">
            <v>KODE</v>
          </cell>
          <cell r="I166" t="str">
            <v>DISIAPKAN OLEH :</v>
          </cell>
          <cell r="K166" t="str">
            <v>TANGGAL</v>
          </cell>
        </row>
        <row r="167">
          <cell r="E167" t="str">
            <v>[071]</v>
          </cell>
          <cell r="F167" t="str">
            <v>BANDAR LAMPUNG</v>
          </cell>
          <cell r="H167" t="str">
            <v>[018]</v>
          </cell>
          <cell r="I167" t="str">
            <v>CV.PUTRA SILIWANGI JAYA</v>
          </cell>
          <cell r="K167" t="str">
            <v>05 Agustus 2005</v>
          </cell>
        </row>
        <row r="170">
          <cell r="A170" t="str">
            <v>URAIAN</v>
          </cell>
          <cell r="F170" t="str">
            <v>ANGGAPAN / ASUMSI</v>
          </cell>
        </row>
        <row r="171">
          <cell r="A171" t="str">
            <v>1.</v>
          </cell>
          <cell r="B171" t="str">
            <v>Pipa sandaran menggunakan pipa galvanis</v>
          </cell>
          <cell r="F171" t="str">
            <v>1. 20 m' pipa galvanis dikirim ke tempat pekerjaan oleh pemasok</v>
          </cell>
        </row>
        <row r="172">
          <cell r="B172" t="str">
            <v>diameter 3"</v>
          </cell>
          <cell r="F172" t="str">
            <v>2. Penyusutan akibat pemotongan 10 %</v>
          </cell>
        </row>
        <row r="173">
          <cell r="F173" t="str">
            <v>3. Pipa sandaran dipasang pada tiang sandaran dengan diikat kawat beton</v>
          </cell>
        </row>
        <row r="183">
          <cell r="B183" t="str">
            <v>PEKERJA</v>
          </cell>
          <cell r="E183" t="str">
            <v>JUMLAH</v>
          </cell>
          <cell r="F183" t="str">
            <v>HARI</v>
          </cell>
          <cell r="G183" t="str">
            <v>KODE</v>
          </cell>
          <cell r="H183" t="str">
            <v>TOTAL VOL</v>
          </cell>
          <cell r="I183" t="str">
            <v>UPAH</v>
          </cell>
          <cell r="J183" t="str">
            <v>BIAYA</v>
          </cell>
          <cell r="K183" t="str">
            <v>SUB TOTAL</v>
          </cell>
        </row>
        <row r="184">
          <cell r="E184" t="str">
            <v>ORANG</v>
          </cell>
          <cell r="H184" t="str">
            <v>(Orang-hari)</v>
          </cell>
          <cell r="I184" t="str">
            <v>(Rp/Org/Hari)</v>
          </cell>
          <cell r="J184" t="str">
            <v>(Rp)</v>
          </cell>
          <cell r="K184" t="str">
            <v>(Rp)</v>
          </cell>
        </row>
        <row r="186">
          <cell r="A186" t="str">
            <v>P</v>
          </cell>
          <cell r="B186" t="str">
            <v>Buruh tak terampil</v>
          </cell>
          <cell r="E186">
            <v>3</v>
          </cell>
          <cell r="F186">
            <v>1</v>
          </cell>
          <cell r="G186" t="str">
            <v>L 101</v>
          </cell>
          <cell r="H186">
            <v>3</v>
          </cell>
          <cell r="I186">
            <v>21800</v>
          </cell>
          <cell r="J186">
            <v>65400</v>
          </cell>
        </row>
        <row r="187">
          <cell r="A187" t="str">
            <v>E</v>
          </cell>
          <cell r="B187" t="str">
            <v>Mandor</v>
          </cell>
          <cell r="E187">
            <v>1</v>
          </cell>
          <cell r="F187">
            <v>1</v>
          </cell>
          <cell r="G187" t="str">
            <v>L 061</v>
          </cell>
          <cell r="H187">
            <v>1</v>
          </cell>
          <cell r="I187">
            <v>34400</v>
          </cell>
          <cell r="J187">
            <v>34400</v>
          </cell>
        </row>
        <row r="188">
          <cell r="A188" t="str">
            <v>K</v>
          </cell>
          <cell r="B188" t="str">
            <v>Kepala Tukang</v>
          </cell>
          <cell r="E188">
            <v>1</v>
          </cell>
          <cell r="F188">
            <v>1</v>
          </cell>
          <cell r="G188" t="str">
            <v>L 073</v>
          </cell>
          <cell r="H188">
            <v>1</v>
          </cell>
          <cell r="I188">
            <v>34400</v>
          </cell>
          <cell r="J188">
            <v>34400</v>
          </cell>
        </row>
        <row r="189">
          <cell r="A189" t="str">
            <v>E</v>
          </cell>
          <cell r="B189" t="str">
            <v>Buruh terampil</v>
          </cell>
          <cell r="E189">
            <v>1</v>
          </cell>
          <cell r="F189">
            <v>1</v>
          </cell>
          <cell r="G189" t="str">
            <v>L 106</v>
          </cell>
          <cell r="H189">
            <v>1</v>
          </cell>
          <cell r="I189">
            <v>24800</v>
          </cell>
          <cell r="J189">
            <v>24800</v>
          </cell>
        </row>
        <row r="190">
          <cell r="A190" t="str">
            <v>R</v>
          </cell>
        </row>
        <row r="191">
          <cell r="A191" t="str">
            <v>J</v>
          </cell>
        </row>
        <row r="192">
          <cell r="A192" t="str">
            <v>A</v>
          </cell>
        </row>
        <row r="200">
          <cell r="D200" t="str">
            <v>JUMLAH BIAYA UNTUK PEKERJA</v>
          </cell>
          <cell r="L200">
            <v>159000</v>
          </cell>
        </row>
        <row r="201">
          <cell r="B201" t="str">
            <v>MATERIAL</v>
          </cell>
          <cell r="F201" t="str">
            <v>SATUAN</v>
          </cell>
          <cell r="G201" t="str">
            <v>KODE</v>
          </cell>
          <cell r="H201" t="str">
            <v>TOTAL VOL</v>
          </cell>
          <cell r="I201" t="str">
            <v>HARGA SATUAN</v>
          </cell>
          <cell r="J201" t="str">
            <v>BIAYA</v>
          </cell>
          <cell r="K201" t="str">
            <v>SUB TOTAL</v>
          </cell>
        </row>
        <row r="202">
          <cell r="I202" t="str">
            <v>(Rp/Satuan)</v>
          </cell>
          <cell r="J202" t="str">
            <v>(Rp)</v>
          </cell>
          <cell r="K202" t="str">
            <v>(Rp)</v>
          </cell>
        </row>
        <row r="204">
          <cell r="A204" t="str">
            <v>M</v>
          </cell>
          <cell r="B204" t="str">
            <v>Pipa sandaran diameter 3 "</v>
          </cell>
          <cell r="F204" t="str">
            <v>M'</v>
          </cell>
          <cell r="G204" t="str">
            <v>B.014</v>
          </cell>
          <cell r="H204">
            <v>22</v>
          </cell>
          <cell r="I204">
            <v>30760</v>
          </cell>
          <cell r="J204">
            <v>676720</v>
          </cell>
        </row>
        <row r="205">
          <cell r="A205" t="str">
            <v>A</v>
          </cell>
          <cell r="B205" t="str">
            <v>Alat bantu (set @ 3 alat)</v>
          </cell>
          <cell r="F205" t="str">
            <v>Set</v>
          </cell>
          <cell r="G205" t="str">
            <v>M 170</v>
          </cell>
          <cell r="H205">
            <v>1</v>
          </cell>
          <cell r="I205">
            <v>49935</v>
          </cell>
          <cell r="J205">
            <v>49935</v>
          </cell>
        </row>
        <row r="206">
          <cell r="A206" t="str">
            <v>T</v>
          </cell>
        </row>
        <row r="207">
          <cell r="A207" t="str">
            <v>E</v>
          </cell>
        </row>
        <row r="208">
          <cell r="A208" t="str">
            <v>R</v>
          </cell>
        </row>
        <row r="209">
          <cell r="A209" t="str">
            <v>I</v>
          </cell>
        </row>
        <row r="210">
          <cell r="A210" t="str">
            <v>A</v>
          </cell>
        </row>
        <row r="211">
          <cell r="A211" t="str">
            <v>L</v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8">
          <cell r="D218" t="str">
            <v>JUMLAH BIAYA UNTUK MATERIAL</v>
          </cell>
          <cell r="L218">
            <v>726655</v>
          </cell>
        </row>
        <row r="219">
          <cell r="B219" t="str">
            <v>PERALATAN</v>
          </cell>
          <cell r="E219" t="str">
            <v>JUMLAH</v>
          </cell>
          <cell r="F219" t="str">
            <v>HARI</v>
          </cell>
          <cell r="G219" t="str">
            <v>KODE</v>
          </cell>
          <cell r="H219" t="str">
            <v>JAM KERJA</v>
          </cell>
          <cell r="I219" t="str">
            <v>HARGA</v>
          </cell>
          <cell r="J219" t="str">
            <v>BIAYA</v>
          </cell>
          <cell r="K219" t="str">
            <v>SUB TOTAL</v>
          </cell>
        </row>
        <row r="220">
          <cell r="E220" t="str">
            <v>ALAT</v>
          </cell>
          <cell r="F220" t="str">
            <v>KERJA</v>
          </cell>
          <cell r="I220" t="str">
            <v>(Rp/Jam)</v>
          </cell>
          <cell r="J220" t="str">
            <v>(Rp)</v>
          </cell>
          <cell r="K220" t="str">
            <v>(Rp)</v>
          </cell>
        </row>
        <row r="222">
          <cell r="A222" t="str">
            <v>P</v>
          </cell>
        </row>
        <row r="223">
          <cell r="A223" t="str">
            <v>E</v>
          </cell>
        </row>
        <row r="224">
          <cell r="A224" t="str">
            <v>R</v>
          </cell>
        </row>
        <row r="225">
          <cell r="A225" t="str">
            <v>A</v>
          </cell>
        </row>
        <row r="226">
          <cell r="A226" t="str">
            <v>L</v>
          </cell>
        </row>
        <row r="227">
          <cell r="A227" t="str">
            <v>A</v>
          </cell>
        </row>
        <row r="228">
          <cell r="A228" t="str">
            <v>T</v>
          </cell>
        </row>
        <row r="229">
          <cell r="A229" t="str">
            <v>A</v>
          </cell>
        </row>
        <row r="230">
          <cell r="A230" t="str">
            <v>N</v>
          </cell>
        </row>
        <row r="236">
          <cell r="D236" t="str">
            <v>JUMLAH BIAYA UNTUK PERALATAN</v>
          </cell>
          <cell r="L236">
            <v>0</v>
          </cell>
        </row>
        <row r="237">
          <cell r="J237" t="str">
            <v>T O T A L (Rp)</v>
          </cell>
          <cell r="L237">
            <v>885655</v>
          </cell>
        </row>
        <row r="239">
          <cell r="B239" t="str">
            <v>VOLUME  :</v>
          </cell>
          <cell r="C239">
            <v>20</v>
          </cell>
          <cell r="E239" t="str">
            <v>SATUAN  :</v>
          </cell>
          <cell r="F239" t="str">
            <v>M '</v>
          </cell>
          <cell r="H239" t="str">
            <v>HARGA SATUAN  :</v>
          </cell>
          <cell r="I239">
            <v>44283</v>
          </cell>
          <cell r="J239" t="str">
            <v>per</v>
          </cell>
          <cell r="K239" t="str">
            <v>M '</v>
          </cell>
        </row>
        <row r="242">
          <cell r="A242" t="str">
            <v>ANALISA HARGA SATUAN</v>
          </cell>
          <cell r="L242" t="str">
            <v>KODE</v>
          </cell>
        </row>
        <row r="243">
          <cell r="A243" t="str">
            <v>PIPA CUCURAN AIR HUJAN</v>
          </cell>
        </row>
        <row r="244">
          <cell r="A244" t="str">
            <v>(MENGGUNAKAN BURUH)</v>
          </cell>
          <cell r="L244" t="str">
            <v>Supl IV</v>
          </cell>
        </row>
        <row r="246">
          <cell r="A246" t="str">
            <v>PROPINSI            :</v>
          </cell>
          <cell r="C246" t="str">
            <v>LAMPUNG</v>
          </cell>
          <cell r="E246" t="str">
            <v>KODE</v>
          </cell>
          <cell r="F246" t="str">
            <v>KOTA</v>
          </cell>
          <cell r="H246" t="str">
            <v>KODE</v>
          </cell>
          <cell r="I246" t="str">
            <v>DISIAPKAN OLEH :</v>
          </cell>
          <cell r="K246" t="str">
            <v>TANGGAL</v>
          </cell>
        </row>
        <row r="247">
          <cell r="E247" t="str">
            <v>[071]</v>
          </cell>
          <cell r="F247" t="str">
            <v>BANDAR LAMPUNG</v>
          </cell>
          <cell r="H247" t="str">
            <v>[018]</v>
          </cell>
          <cell r="I247" t="str">
            <v>CV.PUTRA SILIWANGI JAYA</v>
          </cell>
          <cell r="K247" t="str">
            <v>05 Agustus 2005</v>
          </cell>
        </row>
        <row r="250">
          <cell r="A250" t="str">
            <v>URAIAN</v>
          </cell>
          <cell r="F250" t="str">
            <v>ANGGAPAN / ASUMSI</v>
          </cell>
        </row>
        <row r="251">
          <cell r="A251" t="str">
            <v>1.</v>
          </cell>
          <cell r="B251" t="str">
            <v>Pipa cucuran air hujan menggunakan pipa</v>
          </cell>
          <cell r="F251" t="str">
            <v>1. 15 m' pipa galvanis dikirim ke tempat pekerjaan oleh pemasok</v>
          </cell>
        </row>
        <row r="252">
          <cell r="B252" t="str">
            <v>galvanis diameter 4"</v>
          </cell>
          <cell r="F252" t="str">
            <v>2. Penyusutan akibat pemotongan 10 %</v>
          </cell>
        </row>
        <row r="253">
          <cell r="F253" t="str">
            <v>3. Pipa  dipasang pada lantai beton dengan diikat kawat beton</v>
          </cell>
        </row>
        <row r="263">
          <cell r="B263" t="str">
            <v>PEKERJA</v>
          </cell>
          <cell r="E263" t="str">
            <v>JUMLAH</v>
          </cell>
          <cell r="F263" t="str">
            <v>HARI</v>
          </cell>
          <cell r="G263" t="str">
            <v>KODE</v>
          </cell>
          <cell r="H263" t="str">
            <v>TOTAL VOL</v>
          </cell>
          <cell r="I263" t="str">
            <v>UPAH</v>
          </cell>
          <cell r="J263" t="str">
            <v>BIAYA</v>
          </cell>
          <cell r="K263" t="str">
            <v>SUB TOTAL</v>
          </cell>
        </row>
        <row r="264">
          <cell r="E264" t="str">
            <v>ORANG</v>
          </cell>
          <cell r="H264" t="str">
            <v>(Orang-hari)</v>
          </cell>
          <cell r="I264" t="str">
            <v>(Rp/Org/Hari)</v>
          </cell>
          <cell r="J264" t="str">
            <v>(Rp)</v>
          </cell>
          <cell r="K264" t="str">
            <v>(Rp)</v>
          </cell>
        </row>
        <row r="266">
          <cell r="A266" t="str">
            <v>P</v>
          </cell>
          <cell r="B266" t="str">
            <v>Buruh tak terampil</v>
          </cell>
          <cell r="E266">
            <v>3</v>
          </cell>
          <cell r="F266">
            <v>1</v>
          </cell>
          <cell r="G266" t="str">
            <v>L 101</v>
          </cell>
          <cell r="H266">
            <v>3</v>
          </cell>
          <cell r="I266">
            <v>21800</v>
          </cell>
          <cell r="J266">
            <v>65400</v>
          </cell>
        </row>
        <row r="267">
          <cell r="A267" t="str">
            <v>E</v>
          </cell>
          <cell r="B267" t="str">
            <v>Mandor</v>
          </cell>
          <cell r="E267">
            <v>1</v>
          </cell>
          <cell r="F267">
            <v>1</v>
          </cell>
          <cell r="G267" t="str">
            <v>L 061</v>
          </cell>
          <cell r="H267">
            <v>1</v>
          </cell>
          <cell r="I267">
            <v>34400</v>
          </cell>
          <cell r="J267">
            <v>34400</v>
          </cell>
        </row>
        <row r="268">
          <cell r="A268" t="str">
            <v>K</v>
          </cell>
          <cell r="B268" t="str">
            <v>Kepala Tukang</v>
          </cell>
          <cell r="E268">
            <v>1</v>
          </cell>
          <cell r="F268">
            <v>1</v>
          </cell>
          <cell r="G268" t="str">
            <v>L 073</v>
          </cell>
          <cell r="H268">
            <v>1</v>
          </cell>
          <cell r="I268">
            <v>34400</v>
          </cell>
          <cell r="J268">
            <v>34400</v>
          </cell>
        </row>
        <row r="269">
          <cell r="A269" t="str">
            <v>E</v>
          </cell>
          <cell r="B269" t="str">
            <v>Buruh terampil</v>
          </cell>
          <cell r="E269">
            <v>1</v>
          </cell>
          <cell r="F269">
            <v>1</v>
          </cell>
          <cell r="G269" t="str">
            <v>L 106</v>
          </cell>
          <cell r="H269">
            <v>1</v>
          </cell>
          <cell r="I269">
            <v>24800</v>
          </cell>
          <cell r="J269">
            <v>24800</v>
          </cell>
        </row>
        <row r="270">
          <cell r="A270" t="str">
            <v>R</v>
          </cell>
        </row>
        <row r="271">
          <cell r="A271" t="str">
            <v>J</v>
          </cell>
        </row>
        <row r="272">
          <cell r="A272" t="str">
            <v>A</v>
          </cell>
        </row>
        <row r="280">
          <cell r="D280" t="str">
            <v>JUMLAH BIAYA UNTUK PEKERJA</v>
          </cell>
          <cell r="L280">
            <v>159000</v>
          </cell>
        </row>
        <row r="281">
          <cell r="B281" t="str">
            <v>MATERIAL</v>
          </cell>
          <cell r="F281" t="str">
            <v>SATUAN</v>
          </cell>
          <cell r="G281" t="str">
            <v>KODE</v>
          </cell>
          <cell r="H281" t="str">
            <v>TOTAL VOL</v>
          </cell>
          <cell r="I281" t="str">
            <v>HARGA SATUAN</v>
          </cell>
          <cell r="J281" t="str">
            <v>BIAYA</v>
          </cell>
          <cell r="K281" t="str">
            <v>SUB TOTAL</v>
          </cell>
        </row>
        <row r="282">
          <cell r="I282" t="str">
            <v>(Rp/Satuan)</v>
          </cell>
          <cell r="J282" t="str">
            <v>(Rp)</v>
          </cell>
          <cell r="K282" t="str">
            <v>(Rp)</v>
          </cell>
        </row>
        <row r="284">
          <cell r="A284" t="str">
            <v>M</v>
          </cell>
          <cell r="B284" t="str">
            <v>Pipa Galvanis diameter 4 "</v>
          </cell>
          <cell r="F284" t="str">
            <v>M'</v>
          </cell>
          <cell r="G284" t="str">
            <v>B.015</v>
          </cell>
          <cell r="H284">
            <v>16.5</v>
          </cell>
          <cell r="I284">
            <v>71130</v>
          </cell>
          <cell r="J284">
            <v>1173645</v>
          </cell>
        </row>
        <row r="285">
          <cell r="A285" t="str">
            <v>A</v>
          </cell>
          <cell r="B285" t="str">
            <v>Alat bantu (set @ 3 alat)</v>
          </cell>
          <cell r="F285" t="str">
            <v>Set</v>
          </cell>
          <cell r="G285" t="str">
            <v>M 170</v>
          </cell>
          <cell r="H285">
            <v>1</v>
          </cell>
          <cell r="I285">
            <v>49935</v>
          </cell>
          <cell r="J285">
            <v>49935</v>
          </cell>
        </row>
        <row r="286">
          <cell r="A286" t="str">
            <v>T</v>
          </cell>
        </row>
        <row r="287">
          <cell r="A287" t="str">
            <v>E</v>
          </cell>
        </row>
        <row r="288">
          <cell r="A288" t="str">
            <v>R</v>
          </cell>
        </row>
        <row r="289">
          <cell r="A289" t="str">
            <v>I</v>
          </cell>
        </row>
        <row r="290">
          <cell r="A290" t="str">
            <v>A</v>
          </cell>
        </row>
        <row r="291">
          <cell r="A291" t="str">
            <v>L</v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8">
          <cell r="D298" t="str">
            <v>JUMLAH BIAYA UNTUK MATERIAL</v>
          </cell>
          <cell r="L298">
            <v>1223580</v>
          </cell>
        </row>
        <row r="299">
          <cell r="B299" t="str">
            <v>PERALATAN</v>
          </cell>
          <cell r="E299" t="str">
            <v>JUMLAH</v>
          </cell>
          <cell r="F299" t="str">
            <v>HARI</v>
          </cell>
          <cell r="G299" t="str">
            <v>KODE</v>
          </cell>
          <cell r="H299" t="str">
            <v>JAM KERJA</v>
          </cell>
          <cell r="I299" t="str">
            <v>HARGA</v>
          </cell>
          <cell r="J299" t="str">
            <v>BIAYA</v>
          </cell>
          <cell r="K299" t="str">
            <v>SUB TOTAL</v>
          </cell>
        </row>
        <row r="300">
          <cell r="E300" t="str">
            <v>ALAT</v>
          </cell>
          <cell r="F300" t="str">
            <v>KERJA</v>
          </cell>
          <cell r="I300" t="str">
            <v>(Rp/Jam)</v>
          </cell>
          <cell r="J300" t="str">
            <v>(Rp)</v>
          </cell>
          <cell r="K300" t="str">
            <v>(Rp)</v>
          </cell>
        </row>
        <row r="302">
          <cell r="A302" t="str">
            <v>P</v>
          </cell>
        </row>
        <row r="303">
          <cell r="A303" t="str">
            <v>E</v>
          </cell>
        </row>
        <row r="304">
          <cell r="A304" t="str">
            <v>R</v>
          </cell>
        </row>
        <row r="305">
          <cell r="A305" t="str">
            <v>A</v>
          </cell>
        </row>
        <row r="306">
          <cell r="A306" t="str">
            <v>L</v>
          </cell>
        </row>
        <row r="307">
          <cell r="A307" t="str">
            <v>A</v>
          </cell>
        </row>
        <row r="308">
          <cell r="A308" t="str">
            <v>T</v>
          </cell>
        </row>
        <row r="309">
          <cell r="A309" t="str">
            <v>A</v>
          </cell>
        </row>
        <row r="310">
          <cell r="A310" t="str">
            <v>N</v>
          </cell>
        </row>
        <row r="316">
          <cell r="D316" t="str">
            <v>JUMLAH BIAYA UNTUK PERALATAN</v>
          </cell>
          <cell r="L316">
            <v>0</v>
          </cell>
        </row>
        <row r="317">
          <cell r="J317" t="str">
            <v>T O T A L (Rp)</v>
          </cell>
          <cell r="L317">
            <v>1382580</v>
          </cell>
        </row>
        <row r="319">
          <cell r="B319" t="str">
            <v>VOLUME  :</v>
          </cell>
          <cell r="C319">
            <v>15</v>
          </cell>
          <cell r="E319" t="str">
            <v>SATUAN  :</v>
          </cell>
          <cell r="F319" t="str">
            <v>M '</v>
          </cell>
          <cell r="H319" t="str">
            <v>HARGA SATUAN  :</v>
          </cell>
          <cell r="I319">
            <v>92172</v>
          </cell>
          <cell r="J319" t="str">
            <v>per</v>
          </cell>
          <cell r="K319" t="str">
            <v>M '</v>
          </cell>
        </row>
        <row r="322">
          <cell r="A322" t="str">
            <v>ANALISA HARGA SATUAN</v>
          </cell>
          <cell r="L322" t="str">
            <v>KODE</v>
          </cell>
        </row>
        <row r="323">
          <cell r="A323" t="str">
            <v>PERANCAH BETON JEMBATAN</v>
          </cell>
        </row>
        <row r="324">
          <cell r="A324" t="str">
            <v>(MENGGUNAKAN BURUH)</v>
          </cell>
          <cell r="L324" t="str">
            <v>Supl V</v>
          </cell>
        </row>
        <row r="326">
          <cell r="A326" t="str">
            <v>PROPINSI            :</v>
          </cell>
          <cell r="C326" t="str">
            <v>LAMPUNG</v>
          </cell>
          <cell r="E326" t="str">
            <v>KODE</v>
          </cell>
          <cell r="F326" t="str">
            <v>KOTA</v>
          </cell>
          <cell r="H326" t="str">
            <v>KODE</v>
          </cell>
          <cell r="I326" t="str">
            <v>DISIAPKAN OLEH :</v>
          </cell>
          <cell r="K326" t="str">
            <v>TANGGAL</v>
          </cell>
        </row>
        <row r="327">
          <cell r="E327" t="str">
            <v>[071]</v>
          </cell>
          <cell r="F327" t="str">
            <v>BANDAR LAMPUNG</v>
          </cell>
          <cell r="H327" t="str">
            <v>[018]</v>
          </cell>
          <cell r="I327" t="str">
            <v>CV.PUTRA SILIWANGI JAYA</v>
          </cell>
          <cell r="K327" t="str">
            <v>05 Agustus 2005</v>
          </cell>
        </row>
        <row r="330">
          <cell r="A330" t="str">
            <v>URAIAN</v>
          </cell>
          <cell r="F330" t="str">
            <v>ANGGAPAN / ASUMSI</v>
          </cell>
        </row>
        <row r="331">
          <cell r="A331" t="str">
            <v>1.</v>
          </cell>
          <cell r="B331" t="str">
            <v>Pengadaan Bahan Oleh Pemasok</v>
          </cell>
          <cell r="F331" t="str">
            <v>1. Sekelompok Tukang Kayu membuat dan memasang 12 m2 dalam 1 hari kerja</v>
          </cell>
        </row>
        <row r="332">
          <cell r="A332" t="str">
            <v>2.</v>
          </cell>
          <cell r="B332" t="str">
            <v>Sekelompok Tukang Kayu memotong,</v>
          </cell>
          <cell r="F332" t="str">
            <v>2. 1/4 bagian material dipakai kembali</v>
          </cell>
        </row>
        <row r="333">
          <cell r="B333" t="str">
            <v>memasang dan membuat perancah</v>
          </cell>
          <cell r="F333" t="str">
            <v>3. Kayu perancah menggunakan Kayu 5/7, 8/15 dan dolken Dia 8 cm</v>
          </cell>
        </row>
        <row r="334">
          <cell r="A334" t="str">
            <v>3.</v>
          </cell>
          <cell r="B334" t="str">
            <v>Sekelompok Tukang Kayu membongkar</v>
          </cell>
        </row>
        <row r="335">
          <cell r="B335" t="str">
            <v>perancah setelah beton cukup kuat</v>
          </cell>
        </row>
        <row r="336">
          <cell r="A336" t="str">
            <v>4.</v>
          </cell>
          <cell r="B336" t="str">
            <v>Sekelompok Tukang Kayu membersihkan</v>
          </cell>
        </row>
        <row r="337">
          <cell r="B337" t="str">
            <v>perancah</v>
          </cell>
        </row>
        <row r="343">
          <cell r="B343" t="str">
            <v>PEKERJA</v>
          </cell>
          <cell r="E343" t="str">
            <v>JUMLAH</v>
          </cell>
          <cell r="F343" t="str">
            <v>HARI</v>
          </cell>
          <cell r="G343" t="str">
            <v>KODE</v>
          </cell>
          <cell r="H343" t="str">
            <v>TOTAL VOL</v>
          </cell>
          <cell r="I343" t="str">
            <v>UPAH</v>
          </cell>
          <cell r="J343" t="str">
            <v>BIAYA</v>
          </cell>
          <cell r="K343" t="str">
            <v>SUB TOTAL</v>
          </cell>
        </row>
        <row r="344">
          <cell r="E344" t="str">
            <v>ORANG</v>
          </cell>
          <cell r="H344" t="str">
            <v>(Orang-hari)</v>
          </cell>
          <cell r="I344" t="str">
            <v>(Rp/Org/Hari)</v>
          </cell>
          <cell r="J344" t="str">
            <v>(Rp)</v>
          </cell>
          <cell r="K344" t="str">
            <v>(Rp)</v>
          </cell>
        </row>
        <row r="346">
          <cell r="A346" t="str">
            <v>P</v>
          </cell>
          <cell r="B346" t="str">
            <v>Buruh tak terampil</v>
          </cell>
          <cell r="E346">
            <v>7</v>
          </cell>
          <cell r="F346">
            <v>1</v>
          </cell>
          <cell r="G346" t="str">
            <v>L 101</v>
          </cell>
          <cell r="H346">
            <v>7</v>
          </cell>
          <cell r="I346">
            <v>21800</v>
          </cell>
          <cell r="J346">
            <v>152600</v>
          </cell>
        </row>
        <row r="347">
          <cell r="A347" t="str">
            <v>E</v>
          </cell>
          <cell r="B347" t="str">
            <v>Mandor</v>
          </cell>
          <cell r="E347">
            <v>1</v>
          </cell>
          <cell r="F347">
            <v>1</v>
          </cell>
          <cell r="G347" t="str">
            <v>L 061</v>
          </cell>
          <cell r="H347">
            <v>1</v>
          </cell>
          <cell r="I347">
            <v>34400</v>
          </cell>
          <cell r="J347">
            <v>34400</v>
          </cell>
        </row>
        <row r="348">
          <cell r="A348" t="str">
            <v>K</v>
          </cell>
          <cell r="B348" t="str">
            <v>Kepala Tukang</v>
          </cell>
          <cell r="E348">
            <v>4</v>
          </cell>
          <cell r="F348">
            <v>1</v>
          </cell>
          <cell r="G348" t="str">
            <v>L 073</v>
          </cell>
          <cell r="H348">
            <v>4</v>
          </cell>
          <cell r="I348">
            <v>34400</v>
          </cell>
          <cell r="J348">
            <v>137600</v>
          </cell>
        </row>
        <row r="349">
          <cell r="A349" t="str">
            <v>E</v>
          </cell>
          <cell r="B349" t="str">
            <v>Buruh terampil</v>
          </cell>
          <cell r="E349">
            <v>3</v>
          </cell>
          <cell r="F349">
            <v>1</v>
          </cell>
          <cell r="G349" t="str">
            <v>L 106</v>
          </cell>
          <cell r="H349">
            <v>3</v>
          </cell>
          <cell r="I349">
            <v>24800</v>
          </cell>
          <cell r="J349">
            <v>74400</v>
          </cell>
        </row>
        <row r="350">
          <cell r="A350" t="str">
            <v>R</v>
          </cell>
        </row>
        <row r="351">
          <cell r="A351" t="str">
            <v>J</v>
          </cell>
        </row>
        <row r="352">
          <cell r="A352" t="str">
            <v>A</v>
          </cell>
        </row>
        <row r="360">
          <cell r="D360" t="str">
            <v>JUMLAH BIAYA UNTUK PEKERJA</v>
          </cell>
          <cell r="L360">
            <v>399000</v>
          </cell>
        </row>
        <row r="361">
          <cell r="B361" t="str">
            <v>MATERIAL</v>
          </cell>
          <cell r="F361" t="str">
            <v>SATUAN</v>
          </cell>
          <cell r="G361" t="str">
            <v>KODE</v>
          </cell>
          <cell r="H361" t="str">
            <v>TOTAL VOL</v>
          </cell>
          <cell r="I361" t="str">
            <v>HARGA SATUAN</v>
          </cell>
          <cell r="J361" t="str">
            <v>BIAYA</v>
          </cell>
          <cell r="K361" t="str">
            <v>SUB TOTAL</v>
          </cell>
        </row>
        <row r="362">
          <cell r="I362" t="str">
            <v>(Rp/Satuan)</v>
          </cell>
          <cell r="J362" t="str">
            <v>(Rp)</v>
          </cell>
          <cell r="K362" t="str">
            <v>(Rp)</v>
          </cell>
        </row>
        <row r="364">
          <cell r="A364" t="str">
            <v>M</v>
          </cell>
          <cell r="B364" t="str">
            <v>Paku baja Jembatan</v>
          </cell>
          <cell r="F364" t="str">
            <v>Kg</v>
          </cell>
          <cell r="G364" t="str">
            <v>M 166</v>
          </cell>
          <cell r="H364">
            <v>9.9499999999999993</v>
          </cell>
          <cell r="I364">
            <v>8050</v>
          </cell>
          <cell r="J364">
            <v>80097.5</v>
          </cell>
        </row>
        <row r="365">
          <cell r="A365" t="str">
            <v>A</v>
          </cell>
          <cell r="B365" t="str">
            <v>Kayu Perancah</v>
          </cell>
          <cell r="F365" t="str">
            <v>M3</v>
          </cell>
          <cell r="G365" t="str">
            <v>M 180</v>
          </cell>
          <cell r="H365">
            <v>1.49</v>
          </cell>
          <cell r="I365">
            <v>918804</v>
          </cell>
          <cell r="J365">
            <v>1369017.96</v>
          </cell>
        </row>
        <row r="366">
          <cell r="A366" t="str">
            <v>T</v>
          </cell>
          <cell r="B366" t="str">
            <v>Alat bantu ( set @ 3 alat )</v>
          </cell>
          <cell r="F366" t="str">
            <v>set</v>
          </cell>
          <cell r="G366" t="str">
            <v>M 170</v>
          </cell>
          <cell r="H366">
            <v>1.39</v>
          </cell>
          <cell r="I366">
            <v>49935</v>
          </cell>
          <cell r="J366">
            <v>69409.649999999994</v>
          </cell>
        </row>
        <row r="367">
          <cell r="A367" t="str">
            <v>E</v>
          </cell>
        </row>
        <row r="368">
          <cell r="A368" t="str">
            <v>R</v>
          </cell>
        </row>
        <row r="369">
          <cell r="A369" t="str">
            <v>I</v>
          </cell>
        </row>
        <row r="370">
          <cell r="A370" t="str">
            <v>A</v>
          </cell>
        </row>
        <row r="371">
          <cell r="A371" t="str">
            <v>L</v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8">
          <cell r="D378" t="str">
            <v>JUMLAH BIAYA UNTUK MATERIAL</v>
          </cell>
          <cell r="L378">
            <v>1518525.1099999999</v>
          </cell>
        </row>
        <row r="379">
          <cell r="B379" t="str">
            <v>PERALATAN</v>
          </cell>
          <cell r="E379" t="str">
            <v>JUMLAH</v>
          </cell>
          <cell r="F379" t="str">
            <v>HARI</v>
          </cell>
          <cell r="G379" t="str">
            <v>KODE</v>
          </cell>
          <cell r="H379" t="str">
            <v>JAM KERJA</v>
          </cell>
          <cell r="I379" t="str">
            <v>HARGA</v>
          </cell>
          <cell r="J379" t="str">
            <v>BIAYA</v>
          </cell>
          <cell r="K379" t="str">
            <v>SUB TOTAL</v>
          </cell>
        </row>
        <row r="380">
          <cell r="E380" t="str">
            <v>ALAT</v>
          </cell>
          <cell r="F380" t="str">
            <v>KERJA</v>
          </cell>
          <cell r="I380" t="str">
            <v>(Rp/Jam)</v>
          </cell>
          <cell r="J380" t="str">
            <v>(Rp)</v>
          </cell>
          <cell r="K380" t="str">
            <v>(Rp)</v>
          </cell>
        </row>
        <row r="382">
          <cell r="A382" t="str">
            <v>P</v>
          </cell>
        </row>
        <row r="383">
          <cell r="A383" t="str">
            <v>E</v>
          </cell>
        </row>
        <row r="384">
          <cell r="A384" t="str">
            <v>R</v>
          </cell>
        </row>
        <row r="385">
          <cell r="A385" t="str">
            <v>A</v>
          </cell>
        </row>
        <row r="386">
          <cell r="A386" t="str">
            <v>L</v>
          </cell>
        </row>
        <row r="387">
          <cell r="A387" t="str">
            <v>A</v>
          </cell>
        </row>
        <row r="388">
          <cell r="A388" t="str">
            <v>T</v>
          </cell>
        </row>
        <row r="389">
          <cell r="A389" t="str">
            <v>A</v>
          </cell>
        </row>
        <row r="390">
          <cell r="A390" t="str">
            <v>N</v>
          </cell>
        </row>
        <row r="396">
          <cell r="D396" t="str">
            <v>JUMLAH BIAYA UNTUK PERALATAN</v>
          </cell>
          <cell r="L396">
            <v>0</v>
          </cell>
        </row>
        <row r="397">
          <cell r="J397" t="str">
            <v>T O T A L (Rp)</v>
          </cell>
          <cell r="L397">
            <v>1917525.1099999999</v>
          </cell>
        </row>
        <row r="399">
          <cell r="B399" t="str">
            <v>VOLUME  :</v>
          </cell>
          <cell r="C399">
            <v>10</v>
          </cell>
          <cell r="E399" t="str">
            <v>SATUAN  :</v>
          </cell>
          <cell r="F399" t="str">
            <v>M 2</v>
          </cell>
          <cell r="H399" t="str">
            <v>HARGA SATUAN  :</v>
          </cell>
          <cell r="I399">
            <v>191753</v>
          </cell>
          <cell r="J399" t="str">
            <v>per</v>
          </cell>
          <cell r="K399" t="str">
            <v>M2</v>
          </cell>
        </row>
        <row r="402">
          <cell r="A402" t="str">
            <v>ANALISA HARGA SATUAN</v>
          </cell>
          <cell r="L402" t="str">
            <v>KODE</v>
          </cell>
        </row>
        <row r="403">
          <cell r="A403" t="str">
            <v>PENURUNAN PONDASI SUMURAN DIAMETER 3,00 M</v>
          </cell>
        </row>
        <row r="404">
          <cell r="A404" t="str">
            <v>(MENGGUNAKAN BURUH)</v>
          </cell>
          <cell r="L404" t="str">
            <v>Supl VII</v>
          </cell>
        </row>
        <row r="406">
          <cell r="A406" t="str">
            <v>PROPINSI            :</v>
          </cell>
          <cell r="C406" t="str">
            <v>LAMPUNG</v>
          </cell>
          <cell r="E406" t="str">
            <v>KODE</v>
          </cell>
          <cell r="F406" t="str">
            <v>KOTA</v>
          </cell>
          <cell r="H406" t="str">
            <v>KODE</v>
          </cell>
          <cell r="I406" t="str">
            <v>DISIAPKAN OLEH :</v>
          </cell>
          <cell r="K406" t="str">
            <v>TANGGAL</v>
          </cell>
        </row>
        <row r="407">
          <cell r="E407" t="str">
            <v>[071]</v>
          </cell>
          <cell r="F407" t="str">
            <v>BANDAR LAMPUNG</v>
          </cell>
          <cell r="H407" t="str">
            <v>[018]</v>
          </cell>
          <cell r="I407" t="str">
            <v>CV.PUTRA SILIWANGI JAYA</v>
          </cell>
          <cell r="K407" t="str">
            <v>05 Agustus 2005</v>
          </cell>
        </row>
        <row r="410">
          <cell r="A410" t="str">
            <v>URAIAN</v>
          </cell>
          <cell r="F410" t="str">
            <v>ANGGAPAN / ASUMSI</v>
          </cell>
        </row>
        <row r="411">
          <cell r="A411" t="str">
            <v>1.</v>
          </cell>
          <cell r="B411" t="str">
            <v>Penurunan cincin sumuran dilakukan bertahap</v>
          </cell>
          <cell r="F411" t="str">
            <v>1. Penurunan sumuran dilakukan setelah cincin sumuran dicetak</v>
          </cell>
        </row>
        <row r="412">
          <cell r="B412" t="str">
            <v>setiap tahap dibuat 1,00 meter</v>
          </cell>
          <cell r="F412" t="str">
            <v>2. Tanah didalam cincin sumuran digali dengan tenaga manusia</v>
          </cell>
        </row>
        <row r="413">
          <cell r="F413" t="str">
            <v>3. Tanah hasil galian dibuang keluar dengan menggunakan katrol</v>
          </cell>
        </row>
        <row r="414">
          <cell r="F414" t="str">
            <v>4. Penurunan sumuran dilakukan sampai kedalaman rencana</v>
          </cell>
        </row>
        <row r="415">
          <cell r="F415" t="str">
            <v>5. Volume Galian per M</v>
          </cell>
          <cell r="H415">
            <v>3.4</v>
          </cell>
          <cell r="I415" t="str">
            <v>M3</v>
          </cell>
        </row>
        <row r="416">
          <cell r="F416" t="str">
            <v>6. Perhari dapat dilakukan penurunan sedalam  0.5 M'</v>
          </cell>
        </row>
        <row r="423">
          <cell r="B423" t="str">
            <v>PEKERJA</v>
          </cell>
          <cell r="E423" t="str">
            <v>JUMLAH</v>
          </cell>
          <cell r="F423" t="str">
            <v>HARI</v>
          </cell>
          <cell r="G423" t="str">
            <v>KODE</v>
          </cell>
          <cell r="H423" t="str">
            <v>TOTAL VOL</v>
          </cell>
          <cell r="I423" t="str">
            <v>UPAH</v>
          </cell>
          <cell r="J423" t="str">
            <v>BIAYA</v>
          </cell>
          <cell r="K423" t="str">
            <v>SUB TOTAL</v>
          </cell>
        </row>
        <row r="424">
          <cell r="E424" t="str">
            <v>ORANG</v>
          </cell>
          <cell r="H424" t="str">
            <v>(Orang-hari)</v>
          </cell>
          <cell r="I424" t="str">
            <v>(Rp/Org/Hari)</v>
          </cell>
          <cell r="J424" t="str">
            <v>(Rp)</v>
          </cell>
          <cell r="K424" t="str">
            <v>(Rp)</v>
          </cell>
        </row>
        <row r="426">
          <cell r="A426" t="str">
            <v>P</v>
          </cell>
          <cell r="B426" t="str">
            <v>Buruh tak terampil</v>
          </cell>
          <cell r="E426">
            <v>8</v>
          </cell>
          <cell r="F426">
            <v>1</v>
          </cell>
          <cell r="G426" t="str">
            <v>L 101</v>
          </cell>
          <cell r="H426">
            <v>8</v>
          </cell>
          <cell r="I426">
            <v>21800</v>
          </cell>
          <cell r="J426">
            <v>174400</v>
          </cell>
        </row>
        <row r="427">
          <cell r="A427" t="str">
            <v>E</v>
          </cell>
          <cell r="B427" t="str">
            <v>Mandor</v>
          </cell>
          <cell r="E427">
            <v>1</v>
          </cell>
          <cell r="F427">
            <v>1</v>
          </cell>
          <cell r="G427" t="str">
            <v>L 061</v>
          </cell>
          <cell r="H427">
            <v>1</v>
          </cell>
          <cell r="I427">
            <v>34400</v>
          </cell>
          <cell r="J427">
            <v>34400</v>
          </cell>
        </row>
        <row r="428">
          <cell r="A428" t="str">
            <v>K</v>
          </cell>
          <cell r="B428" t="str">
            <v>Kepala Tukang</v>
          </cell>
          <cell r="E428">
            <v>1</v>
          </cell>
          <cell r="F428">
            <v>1</v>
          </cell>
          <cell r="G428" t="str">
            <v>L 073</v>
          </cell>
          <cell r="H428">
            <v>1</v>
          </cell>
          <cell r="I428">
            <v>34400</v>
          </cell>
          <cell r="J428">
            <v>34400</v>
          </cell>
        </row>
        <row r="429">
          <cell r="A429" t="str">
            <v>E</v>
          </cell>
          <cell r="B429" t="str">
            <v>Buruh terampil</v>
          </cell>
          <cell r="E429">
            <v>4</v>
          </cell>
          <cell r="F429">
            <v>1</v>
          </cell>
          <cell r="G429" t="str">
            <v>L 106</v>
          </cell>
          <cell r="H429">
            <v>4</v>
          </cell>
          <cell r="I429">
            <v>24800</v>
          </cell>
          <cell r="J429">
            <v>99200</v>
          </cell>
        </row>
        <row r="430">
          <cell r="A430" t="str">
            <v>R</v>
          </cell>
        </row>
        <row r="431">
          <cell r="A431" t="str">
            <v>J</v>
          </cell>
        </row>
        <row r="432">
          <cell r="A432" t="str">
            <v>A</v>
          </cell>
        </row>
        <row r="440">
          <cell r="D440" t="str">
            <v>JUMLAH BIAYA UNTUK PEKERJA</v>
          </cell>
          <cell r="L440">
            <v>342400</v>
          </cell>
        </row>
        <row r="441">
          <cell r="B441" t="str">
            <v>MATERIAL</v>
          </cell>
          <cell r="F441" t="str">
            <v>SATUAN</v>
          </cell>
          <cell r="G441" t="str">
            <v>KODE</v>
          </cell>
          <cell r="H441" t="str">
            <v>TOTAL VOL</v>
          </cell>
          <cell r="I441" t="str">
            <v>HARGA SATUAN</v>
          </cell>
          <cell r="J441" t="str">
            <v>BIAYA</v>
          </cell>
          <cell r="K441" t="str">
            <v>SUB TOTAL</v>
          </cell>
        </row>
        <row r="442">
          <cell r="I442" t="str">
            <v>(Rp/Satuan)</v>
          </cell>
          <cell r="J442" t="str">
            <v>(Rp)</v>
          </cell>
          <cell r="K442" t="str">
            <v>(Rp)</v>
          </cell>
        </row>
        <row r="444">
          <cell r="A444" t="str">
            <v>M</v>
          </cell>
        </row>
        <row r="445">
          <cell r="A445" t="str">
            <v>A</v>
          </cell>
        </row>
        <row r="446">
          <cell r="A446" t="str">
            <v>T</v>
          </cell>
          <cell r="B446" t="str">
            <v>Alat bantu ( set @ 3 alat )</v>
          </cell>
          <cell r="F446" t="str">
            <v>set</v>
          </cell>
          <cell r="G446" t="str">
            <v>M 170</v>
          </cell>
          <cell r="H446">
            <v>1</v>
          </cell>
          <cell r="I446">
            <v>49935</v>
          </cell>
          <cell r="J446">
            <v>49935</v>
          </cell>
        </row>
        <row r="447">
          <cell r="A447" t="str">
            <v>E</v>
          </cell>
        </row>
        <row r="448">
          <cell r="A448" t="str">
            <v>R</v>
          </cell>
        </row>
        <row r="449">
          <cell r="A449" t="str">
            <v>I</v>
          </cell>
        </row>
        <row r="450">
          <cell r="A450" t="str">
            <v>A</v>
          </cell>
        </row>
        <row r="451">
          <cell r="A451" t="str">
            <v>L</v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8">
          <cell r="D458" t="str">
            <v>JUMLAH BIAYA UNTUK MATERIAL</v>
          </cell>
          <cell r="L458">
            <v>49935</v>
          </cell>
        </row>
        <row r="459">
          <cell r="B459" t="str">
            <v>PERALATAN</v>
          </cell>
          <cell r="E459" t="str">
            <v>JUMLAH</v>
          </cell>
          <cell r="F459" t="str">
            <v>HARI</v>
          </cell>
          <cell r="G459" t="str">
            <v>KODE</v>
          </cell>
          <cell r="H459" t="str">
            <v>JAM KERJA</v>
          </cell>
          <cell r="I459" t="str">
            <v>HARGA</v>
          </cell>
          <cell r="J459" t="str">
            <v>BIAYA</v>
          </cell>
          <cell r="K459" t="str">
            <v>SUB TOTAL</v>
          </cell>
        </row>
        <row r="460">
          <cell r="E460" t="str">
            <v>ALAT</v>
          </cell>
          <cell r="F460" t="str">
            <v>KERJA</v>
          </cell>
          <cell r="I460" t="str">
            <v>(Rp/Jam)</v>
          </cell>
          <cell r="J460" t="str">
            <v>(Rp)</v>
          </cell>
          <cell r="K460" t="str">
            <v>(Rp)</v>
          </cell>
        </row>
        <row r="462">
          <cell r="A462" t="str">
            <v>P</v>
          </cell>
        </row>
        <row r="463">
          <cell r="A463" t="str">
            <v>E</v>
          </cell>
        </row>
        <row r="464">
          <cell r="A464" t="str">
            <v>R</v>
          </cell>
        </row>
        <row r="465">
          <cell r="A465" t="str">
            <v>A</v>
          </cell>
        </row>
        <row r="466">
          <cell r="A466" t="str">
            <v>L</v>
          </cell>
        </row>
        <row r="467">
          <cell r="A467" t="str">
            <v>A</v>
          </cell>
        </row>
        <row r="468">
          <cell r="A468" t="str">
            <v>T</v>
          </cell>
        </row>
        <row r="469">
          <cell r="A469" t="str">
            <v>A</v>
          </cell>
        </row>
        <row r="470">
          <cell r="A470" t="str">
            <v>N</v>
          </cell>
        </row>
        <row r="476">
          <cell r="D476" t="str">
            <v>JUMLAH BIAYA UNTUK PERALATAN</v>
          </cell>
          <cell r="L476">
            <v>0</v>
          </cell>
        </row>
        <row r="477">
          <cell r="J477" t="str">
            <v>T O T A L (Rp)</v>
          </cell>
          <cell r="L477">
            <v>392335</v>
          </cell>
        </row>
        <row r="479">
          <cell r="B479" t="str">
            <v>VOLUME  :</v>
          </cell>
          <cell r="C479">
            <v>0.5</v>
          </cell>
          <cell r="E479" t="str">
            <v>SATUAN  :</v>
          </cell>
          <cell r="F479" t="str">
            <v>M '</v>
          </cell>
          <cell r="H479" t="str">
            <v>HARGA SATUAN  :</v>
          </cell>
          <cell r="I479">
            <v>784670</v>
          </cell>
          <cell r="J479" t="str">
            <v>per</v>
          </cell>
          <cell r="K479" t="str">
            <v>M'</v>
          </cell>
        </row>
        <row r="644">
          <cell r="A644" t="str">
            <v>ANALISA HARGA SATUAN</v>
          </cell>
          <cell r="L644" t="str">
            <v>KODE</v>
          </cell>
        </row>
        <row r="645">
          <cell r="A645" t="str">
            <v>PEMBUATAN  CINCIN SUMURAN DIAMETER 300 Cm</v>
          </cell>
        </row>
        <row r="646">
          <cell r="A646" t="str">
            <v>(MENGGUNAKAN BURUH)</v>
          </cell>
          <cell r="L646" t="str">
            <v>Supl. VI</v>
          </cell>
        </row>
        <row r="648">
          <cell r="A648" t="str">
            <v>PROPINSI            :</v>
          </cell>
          <cell r="C648" t="str">
            <v>LAMPUNG</v>
          </cell>
          <cell r="E648" t="str">
            <v>KODE</v>
          </cell>
          <cell r="F648" t="str">
            <v>KOTA</v>
          </cell>
          <cell r="H648" t="str">
            <v>KODE</v>
          </cell>
          <cell r="I648" t="str">
            <v>DISIAPKAN OLEH :</v>
          </cell>
          <cell r="K648" t="str">
            <v>TANGGAL</v>
          </cell>
        </row>
        <row r="649">
          <cell r="E649" t="str">
            <v>[071]</v>
          </cell>
          <cell r="F649" t="str">
            <v>BANDAR LAMPUNG</v>
          </cell>
          <cell r="H649" t="str">
            <v>[018]</v>
          </cell>
          <cell r="I649" t="str">
            <v>CV.PUTRA SILIWANGI JAYA</v>
          </cell>
          <cell r="K649" t="str">
            <v>05 Agustus 2005</v>
          </cell>
        </row>
        <row r="652">
          <cell r="A652" t="str">
            <v>URAIAN</v>
          </cell>
          <cell r="F652" t="str">
            <v>ANGGAPAN / ASUMSI</v>
          </cell>
        </row>
        <row r="653">
          <cell r="A653" t="str">
            <v>1.</v>
          </cell>
          <cell r="B653" t="str">
            <v>Acuan dibersihkan dan dilapisi oli</v>
          </cell>
          <cell r="F653" t="str">
            <v>1. Beton K225 diaduk di lokasi pekerjaan (54 adukan perhari @ 114 liter peradukan)</v>
          </cell>
        </row>
        <row r="654">
          <cell r="A654" t="str">
            <v>2.</v>
          </cell>
          <cell r="B654" t="str">
            <v>Jaringan tulangan beton dibuat</v>
          </cell>
          <cell r="F654" t="str">
            <v>2. Dicor kira-kira 6 m3 perhari (Terbuang 3%)</v>
          </cell>
        </row>
        <row r="655">
          <cell r="A655" t="str">
            <v>3.</v>
          </cell>
          <cell r="B655" t="str">
            <v>Acuan dirakit melingkari jaringan tulang beton</v>
          </cell>
          <cell r="F655" t="str">
            <v>3. Diameter dalam pipa 240 cm, luar 300 cm, tebal 20 cm dan panjang 1 m</v>
          </cell>
        </row>
        <row r="656">
          <cell r="A656" t="str">
            <v>4.</v>
          </cell>
          <cell r="B656" t="str">
            <v>Adukan beton di cor kedalam acuan</v>
          </cell>
          <cell r="F656" t="str">
            <v>4. Tulangan berlapis dua : 192.8 Kg/meter, pipa 50 Kg/Orang/hari (terbuang 9 %)</v>
          </cell>
        </row>
        <row r="657">
          <cell r="B657" t="str">
            <v>dan digetar sampai padat</v>
          </cell>
          <cell r="F657" t="str">
            <v>5. Buka dan bersihkan acuan 11 m/kelompok/hari; 4 kelompok buruh masing-masing 2 orang</v>
          </cell>
        </row>
        <row r="658">
          <cell r="A658" t="str">
            <v>5.</v>
          </cell>
          <cell r="B658" t="str">
            <v>Membuka acuan setelah beton cukup kuat</v>
          </cell>
          <cell r="F658" t="str">
            <v>6. Berat pipa jadi yang masing-masing kira-kira 350 Kg</v>
          </cell>
        </row>
        <row r="659">
          <cell r="A659" t="str">
            <v>6.</v>
          </cell>
          <cell r="B659" t="str">
            <v>Cincin diturunkan dengan tenaga manusia</v>
          </cell>
          <cell r="F659" t="str">
            <v>7. Umur acuan dari baja; 3 Tahun atau 900 pemakaian masing-masing 165 Kg/acuan</v>
          </cell>
        </row>
        <row r="660">
          <cell r="F660" t="str">
            <v>8. Sesuai peraturan Beton bertulang Indonesia (PBI 1971 N.1.2.)</v>
          </cell>
        </row>
        <row r="663">
          <cell r="B663" t="str">
            <v>PEKERJA</v>
          </cell>
          <cell r="E663" t="str">
            <v>JUMLAH</v>
          </cell>
          <cell r="F663" t="str">
            <v>HARI</v>
          </cell>
          <cell r="G663" t="str">
            <v>KODE</v>
          </cell>
          <cell r="H663" t="str">
            <v>TOTAL VOL</v>
          </cell>
          <cell r="I663" t="str">
            <v>UPAH</v>
          </cell>
          <cell r="J663" t="str">
            <v>BIAYA</v>
          </cell>
          <cell r="K663" t="str">
            <v>SUB TOTAL</v>
          </cell>
        </row>
        <row r="664">
          <cell r="E664" t="str">
            <v>ORANG</v>
          </cell>
          <cell r="H664" t="str">
            <v>(Orang-hari)</v>
          </cell>
          <cell r="I664" t="str">
            <v>(Rp/Org/Hari)</v>
          </cell>
          <cell r="J664" t="str">
            <v>(Rp)</v>
          </cell>
          <cell r="K664" t="str">
            <v>(Rp)</v>
          </cell>
        </row>
        <row r="667">
          <cell r="A667" t="str">
            <v>P</v>
          </cell>
          <cell r="B667" t="str">
            <v>Buruh tak terampil</v>
          </cell>
          <cell r="E667">
            <v>8</v>
          </cell>
          <cell r="F667">
            <v>1</v>
          </cell>
          <cell r="G667" t="str">
            <v>L 101</v>
          </cell>
          <cell r="H667">
            <v>8</v>
          </cell>
          <cell r="I667">
            <v>21800</v>
          </cell>
          <cell r="J667">
            <v>174400</v>
          </cell>
        </row>
        <row r="668">
          <cell r="A668" t="str">
            <v>E</v>
          </cell>
          <cell r="B668" t="str">
            <v>Mandor</v>
          </cell>
          <cell r="E668">
            <v>1</v>
          </cell>
          <cell r="F668">
            <v>1</v>
          </cell>
          <cell r="G668" t="str">
            <v>L 061</v>
          </cell>
          <cell r="H668">
            <v>1</v>
          </cell>
          <cell r="I668">
            <v>34400</v>
          </cell>
          <cell r="J668">
            <v>34400</v>
          </cell>
        </row>
        <row r="669">
          <cell r="A669" t="str">
            <v>K</v>
          </cell>
          <cell r="B669" t="str">
            <v>Operator terampil</v>
          </cell>
          <cell r="E669">
            <v>1</v>
          </cell>
          <cell r="F669">
            <v>1</v>
          </cell>
          <cell r="G669" t="str">
            <v>L 081</v>
          </cell>
          <cell r="H669">
            <v>1</v>
          </cell>
          <cell r="I669">
            <v>34400</v>
          </cell>
          <cell r="J669">
            <v>34400</v>
          </cell>
        </row>
        <row r="670">
          <cell r="A670" t="str">
            <v>E</v>
          </cell>
          <cell r="B670" t="str">
            <v>Buruh terampil</v>
          </cell>
          <cell r="E670">
            <v>7</v>
          </cell>
          <cell r="F670">
            <v>1</v>
          </cell>
          <cell r="G670" t="str">
            <v>L 106</v>
          </cell>
          <cell r="H670">
            <v>7</v>
          </cell>
          <cell r="I670">
            <v>24800</v>
          </cell>
          <cell r="J670">
            <v>173600</v>
          </cell>
        </row>
        <row r="671">
          <cell r="A671" t="str">
            <v>R</v>
          </cell>
        </row>
        <row r="672">
          <cell r="A672" t="str">
            <v>J</v>
          </cell>
        </row>
        <row r="673">
          <cell r="A673" t="str">
            <v>A</v>
          </cell>
        </row>
        <row r="682">
          <cell r="D682" t="str">
            <v>JUMLAH BIAYA UNTUK PEKERJA</v>
          </cell>
          <cell r="J682" t="str">
            <v>PEKERJA (I+II)</v>
          </cell>
          <cell r="L682">
            <v>416800</v>
          </cell>
        </row>
        <row r="683">
          <cell r="B683" t="str">
            <v>MATERIAL</v>
          </cell>
          <cell r="F683" t="str">
            <v>SATUAN</v>
          </cell>
          <cell r="G683" t="str">
            <v>KODE</v>
          </cell>
          <cell r="H683" t="str">
            <v>TOTAL VOL</v>
          </cell>
          <cell r="I683" t="str">
            <v>HARGA SATUAN</v>
          </cell>
          <cell r="J683" t="str">
            <v>BIAYA</v>
          </cell>
          <cell r="K683" t="str">
            <v>SUB TOTAL</v>
          </cell>
        </row>
        <row r="684">
          <cell r="I684" t="str">
            <v>(Rp)</v>
          </cell>
          <cell r="J684" t="str">
            <v>(Rp)</v>
          </cell>
          <cell r="K684" t="str">
            <v>(Rp)</v>
          </cell>
        </row>
        <row r="687">
          <cell r="A687" t="str">
            <v>M</v>
          </cell>
          <cell r="B687" t="str">
            <v>Acuan beton struktur</v>
          </cell>
          <cell r="F687" t="str">
            <v>M2</v>
          </cell>
          <cell r="G687" t="str">
            <v>K 710</v>
          </cell>
          <cell r="H687">
            <v>25.47</v>
          </cell>
          <cell r="I687">
            <v>49922.3</v>
          </cell>
          <cell r="J687">
            <v>1271520.98</v>
          </cell>
        </row>
        <row r="688">
          <cell r="A688" t="str">
            <v>A</v>
          </cell>
          <cell r="B688" t="str">
            <v>Tulangan besi beton</v>
          </cell>
          <cell r="F688" t="str">
            <v>Kg</v>
          </cell>
          <cell r="G688" t="str">
            <v>M 167</v>
          </cell>
          <cell r="H688">
            <v>215</v>
          </cell>
          <cell r="I688">
            <v>8860</v>
          </cell>
          <cell r="J688">
            <v>1904900</v>
          </cell>
        </row>
        <row r="689">
          <cell r="A689" t="str">
            <v>T</v>
          </cell>
          <cell r="B689" t="str">
            <v>Alat bantu ( set @ 3 alat )</v>
          </cell>
          <cell r="F689" t="str">
            <v>set</v>
          </cell>
          <cell r="G689" t="str">
            <v>M 170</v>
          </cell>
          <cell r="H689">
            <v>0.47</v>
          </cell>
          <cell r="I689">
            <v>49935</v>
          </cell>
          <cell r="J689">
            <v>23469.45</v>
          </cell>
        </row>
        <row r="690">
          <cell r="A690" t="str">
            <v>E</v>
          </cell>
          <cell r="B690" t="str">
            <v>Beton struktur K.225 (125 liter )</v>
          </cell>
          <cell r="F690" t="str">
            <v>M3</v>
          </cell>
          <cell r="G690" t="str">
            <v>K 722</v>
          </cell>
          <cell r="H690">
            <v>6.17</v>
          </cell>
          <cell r="I690">
            <v>527549.56000000006</v>
          </cell>
          <cell r="J690">
            <v>3254980.79</v>
          </cell>
        </row>
        <row r="691">
          <cell r="A691" t="str">
            <v>R</v>
          </cell>
        </row>
        <row r="692">
          <cell r="A692" t="str">
            <v>I</v>
          </cell>
        </row>
        <row r="693">
          <cell r="A693" t="str">
            <v>A</v>
          </cell>
        </row>
        <row r="694">
          <cell r="A694" t="str">
            <v>L</v>
          </cell>
        </row>
        <row r="700">
          <cell r="D700" t="str">
            <v>JUMLAH BIAYA UNTUK MATERIAL</v>
          </cell>
          <cell r="J700" t="str">
            <v>MATERIAL (I+II)</v>
          </cell>
          <cell r="L700">
            <v>6454871</v>
          </cell>
        </row>
        <row r="701">
          <cell r="B701" t="str">
            <v>PERALATAN</v>
          </cell>
          <cell r="E701" t="str">
            <v>JUMLAH</v>
          </cell>
          <cell r="F701" t="str">
            <v>HARI</v>
          </cell>
          <cell r="G701" t="str">
            <v>KODE</v>
          </cell>
          <cell r="H701" t="str">
            <v>JAM KERJA</v>
          </cell>
          <cell r="I701" t="str">
            <v>HARGA</v>
          </cell>
          <cell r="J701" t="str">
            <v>BIAYA</v>
          </cell>
          <cell r="K701" t="str">
            <v>SUB TOTAL</v>
          </cell>
        </row>
        <row r="702">
          <cell r="E702" t="str">
            <v>ALAT</v>
          </cell>
          <cell r="F702" t="str">
            <v>KERJA</v>
          </cell>
          <cell r="I702" t="str">
            <v>(Rp/Jam)</v>
          </cell>
          <cell r="J702" t="str">
            <v>(Rp)</v>
          </cell>
          <cell r="K702" t="str">
            <v>(Rp)</v>
          </cell>
        </row>
        <row r="704">
          <cell r="A704" t="str">
            <v>P</v>
          </cell>
        </row>
        <row r="705">
          <cell r="A705" t="str">
            <v>E</v>
          </cell>
        </row>
        <row r="706">
          <cell r="A706" t="str">
            <v>R</v>
          </cell>
        </row>
        <row r="707">
          <cell r="A707" t="str">
            <v>A</v>
          </cell>
        </row>
        <row r="708">
          <cell r="A708" t="str">
            <v>L</v>
          </cell>
        </row>
        <row r="709">
          <cell r="A709" t="str">
            <v>A</v>
          </cell>
        </row>
        <row r="710">
          <cell r="A710" t="str">
            <v>T</v>
          </cell>
        </row>
        <row r="711">
          <cell r="A711" t="str">
            <v>A</v>
          </cell>
        </row>
        <row r="712">
          <cell r="A712" t="str">
            <v>N</v>
          </cell>
        </row>
        <row r="718">
          <cell r="D718" t="str">
            <v>JUMLAH BIAYA UNTUK PERALATAN</v>
          </cell>
          <cell r="J718" t="str">
            <v>PERALATAN (I+II)</v>
          </cell>
          <cell r="L718">
            <v>0</v>
          </cell>
        </row>
        <row r="719">
          <cell r="J719" t="str">
            <v>T O T A L (Rp)</v>
          </cell>
          <cell r="L719">
            <v>6871671</v>
          </cell>
        </row>
        <row r="721">
          <cell r="B721" t="str">
            <v>VOLUME  :</v>
          </cell>
          <cell r="C721">
            <v>3</v>
          </cell>
          <cell r="E721" t="str">
            <v>SATUAN  :</v>
          </cell>
          <cell r="F721" t="str">
            <v>M '</v>
          </cell>
          <cell r="H721" t="str">
            <v>HARGA SATUAN  :</v>
          </cell>
          <cell r="I721">
            <v>2290557</v>
          </cell>
          <cell r="J721" t="str">
            <v>per</v>
          </cell>
          <cell r="K721" t="str">
            <v>M '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RAB"/>
      <sheetName val="REK"/>
      <sheetName val="rab2"/>
      <sheetName val="rk2"/>
      <sheetName val="koprab"/>
    </sheetNames>
    <sheetDataSet>
      <sheetData sheetId="0">
        <row r="18">
          <cell r="F18">
            <v>4500</v>
          </cell>
        </row>
        <row r="23">
          <cell r="F23">
            <v>780</v>
          </cell>
        </row>
        <row r="104">
          <cell r="F104">
            <v>50000</v>
          </cell>
        </row>
        <row r="105">
          <cell r="F105">
            <v>26000</v>
          </cell>
        </row>
        <row r="114">
          <cell r="F114">
            <v>37000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(2)"/>
      <sheetName val="Agg Halus &amp; Kasar"/>
      <sheetName val="Agg A"/>
      <sheetName val="Agg B"/>
      <sheetName val="Agg C"/>
      <sheetName val="Agg  CBR 60"/>
      <sheetName val="BOQ"/>
      <sheetName val="Rekap"/>
      <sheetName val="D1"/>
      <sheetName val="D2"/>
      <sheetName val="D3"/>
      <sheetName val="D4"/>
      <sheetName val="D5(1)"/>
      <sheetName val="D5(2)"/>
      <sheetName val="D6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D8(pavi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0">
          <cell r="F60">
            <v>10236.628000000001</v>
          </cell>
        </row>
      </sheetData>
      <sheetData sheetId="11"/>
      <sheetData sheetId="12"/>
      <sheetData sheetId="13">
        <row r="16">
          <cell r="AW16">
            <v>446429.38555316965</v>
          </cell>
        </row>
        <row r="17">
          <cell r="AW17">
            <v>489607.31666280393</v>
          </cell>
        </row>
        <row r="30">
          <cell r="AW30">
            <v>277908.79677460785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SATUAN BQ"/>
      <sheetName val="ANALISA BQ"/>
      <sheetName val="COVER OE"/>
      <sheetName val="RAB MENARA OE"/>
      <sheetName val="COVER BQ"/>
      <sheetName val="COVER EE"/>
      <sheetName val="BQ RAB"/>
      <sheetName val="ANALISAAPBD"/>
      <sheetName val="HARGA SATUAN"/>
      <sheetName val="ANALISA OKE"/>
      <sheetName val="RAB MENARA"/>
      <sheetName val="Sheet3"/>
      <sheetName val="Loka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E15">
            <v>40000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Kuantitas &amp; Harga print"/>
    </sheetNames>
    <sheetDataSet>
      <sheetData sheetId="0"/>
      <sheetData sheetId="1">
        <row r="29">
          <cell r="G29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"/>
      <sheetName val="Analisa Quarry"/>
      <sheetName val="plesteran"/>
      <sheetName val="penyiapan bdn jalan"/>
      <sheetName val="mortar"/>
      <sheetName val="galian"/>
      <sheetName val="timbunan"/>
      <sheetName val="ASPAL"/>
      <sheetName val="BETON"/>
      <sheetName val="pas batu"/>
      <sheetName val="paving"/>
      <sheetName val="bongkar"/>
      <sheetName val="beton pracetak"/>
      <sheetName val=" buis "/>
      <sheetName val="plat pracetak"/>
      <sheetName val="bt kancing"/>
      <sheetName val="tulangan"/>
      <sheetName val="Peralatan"/>
      <sheetName val="agr.kasar &amp; halus "/>
      <sheetName val="Lapis Agregat"/>
      <sheetName val="patching"/>
      <sheetName val="kanstein"/>
    </sheetNames>
    <sheetDataSet>
      <sheetData sheetId="0">
        <row r="8">
          <cell r="F8">
            <v>5800</v>
          </cell>
        </row>
        <row r="10">
          <cell r="F10">
            <v>8950</v>
          </cell>
        </row>
        <row r="33">
          <cell r="F33">
            <v>359700</v>
          </cell>
        </row>
        <row r="34">
          <cell r="F34">
            <v>492781.90885956801</v>
          </cell>
        </row>
        <row r="42">
          <cell r="F42">
            <v>58746</v>
          </cell>
        </row>
        <row r="45">
          <cell r="F45">
            <v>14818.181818181816</v>
          </cell>
        </row>
        <row r="46">
          <cell r="F46">
            <v>2371211.8181818179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F9">
            <v>72.400000000000006</v>
          </cell>
        </row>
        <row r="10">
          <cell r="F10">
            <v>4</v>
          </cell>
        </row>
        <row r="14">
          <cell r="F14">
            <v>138</v>
          </cell>
        </row>
        <row r="20">
          <cell r="F20">
            <v>135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"/>
      <sheetName val="Peralatan Industri"/>
      <sheetName val="Peralatan (2)"/>
      <sheetName val="Faktor Efisiensi Alat"/>
      <sheetName val="5-alat"/>
    </sheetNames>
    <sheetDataSet>
      <sheetData sheetId="0"/>
      <sheetData sheetId="1"/>
      <sheetData sheetId="2">
        <row r="26">
          <cell r="R26" t="str">
            <v>Alat Baru</v>
          </cell>
        </row>
        <row r="27">
          <cell r="R27">
            <v>318000000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al"/>
      <sheetName val="Rab"/>
      <sheetName val="OE"/>
      <sheetName val="Informasi"/>
      <sheetName val="Mobil"/>
      <sheetName val="Quary"/>
      <sheetName val="Basic"/>
      <sheetName val="Alat"/>
      <sheetName val="Div.2"/>
      <sheetName val="Div.3"/>
      <sheetName val="Div.5"/>
      <sheetName val="Div.6"/>
      <sheetName val="Div.8"/>
      <sheetName val="D7"/>
      <sheetName val="Sumuran"/>
      <sheetName val="D7b"/>
      <sheetName val="Rekap-6"/>
      <sheetName val="Rab-6"/>
      <sheetName val="Mobil-6"/>
      <sheetName val="Onsite"/>
      <sheetName val="Alat (2)"/>
      <sheetName val="Div. 8 Panas"/>
      <sheetName val="Selokan"/>
      <sheetName val="Rutin Bahu (2)"/>
    </sheetNames>
    <sheetDataSet>
      <sheetData sheetId="0"/>
      <sheetData sheetId="1"/>
      <sheetData sheetId="2"/>
      <sheetData sheetId="3"/>
      <sheetData sheetId="4"/>
      <sheetData sheetId="5">
        <row r="149">
          <cell r="A149" t="str">
            <v>ANALISA HARGA DASAR SATUAN BAHAN</v>
          </cell>
        </row>
        <row r="151">
          <cell r="A151" t="str">
            <v>Jenis</v>
          </cell>
          <cell r="B151" t="str">
            <v>:</v>
          </cell>
          <cell r="C151" t="str">
            <v>M06  -  Batu Belah</v>
          </cell>
        </row>
        <row r="152">
          <cell r="A152" t="str">
            <v>Lokasi</v>
          </cell>
          <cell r="B152" t="str">
            <v>:</v>
          </cell>
          <cell r="C152" t="str">
            <v>Quarry</v>
          </cell>
        </row>
        <row r="153">
          <cell r="A153" t="str">
            <v>Tujuan</v>
          </cell>
          <cell r="B153" t="str">
            <v>:</v>
          </cell>
          <cell r="C153" t="str">
            <v>Lokasi Pekerjaan</v>
          </cell>
        </row>
        <row r="155">
          <cell r="H155" t="str">
            <v>HARGA</v>
          </cell>
        </row>
        <row r="156">
          <cell r="A156" t="str">
            <v>No.</v>
          </cell>
          <cell r="B156" t="str">
            <v>URAIAN</v>
          </cell>
          <cell r="E156" t="str">
            <v>KODE</v>
          </cell>
          <cell r="F156" t="str">
            <v>KOEF.</v>
          </cell>
          <cell r="G156" t="str">
            <v>SATUAN</v>
          </cell>
          <cell r="H156" t="str">
            <v>SATUAN</v>
          </cell>
        </row>
        <row r="157">
          <cell r="H157" t="str">
            <v>(Rp.)</v>
          </cell>
        </row>
        <row r="159">
          <cell r="A159" t="str">
            <v>I.</v>
          </cell>
          <cell r="C159" t="str">
            <v>ASUMSI</v>
          </cell>
        </row>
        <row r="160">
          <cell r="A160">
            <v>1</v>
          </cell>
          <cell r="C160" t="str">
            <v>Menggunakan alat berat</v>
          </cell>
        </row>
        <row r="161">
          <cell r="A161">
            <v>2</v>
          </cell>
          <cell r="C161" t="str">
            <v>Kondisi Jalan   :  sedang / baik</v>
          </cell>
        </row>
        <row r="162">
          <cell r="A162">
            <v>3</v>
          </cell>
          <cell r="C162" t="str">
            <v>Jarak Quarry ke Lokasi Pekerjaan</v>
          </cell>
          <cell r="E162" t="str">
            <v>L</v>
          </cell>
          <cell r="F162">
            <v>25</v>
          </cell>
          <cell r="G162" t="str">
            <v>Km</v>
          </cell>
        </row>
        <row r="163">
          <cell r="A163">
            <v>4</v>
          </cell>
          <cell r="C163" t="str">
            <v>Harga satuan batu kali di Quarry</v>
          </cell>
          <cell r="E163" t="str">
            <v>RpM02</v>
          </cell>
          <cell r="F163">
            <v>1</v>
          </cell>
          <cell r="G163" t="str">
            <v>M3</v>
          </cell>
          <cell r="H163">
            <v>25000</v>
          </cell>
        </row>
        <row r="164">
          <cell r="A164">
            <v>6</v>
          </cell>
          <cell r="C164" t="str">
            <v>Harga Satuan Dasar Dump Truck</v>
          </cell>
          <cell r="E164" t="str">
            <v>RpE08</v>
          </cell>
          <cell r="F164">
            <v>1</v>
          </cell>
          <cell r="G164" t="str">
            <v>Jam</v>
          </cell>
          <cell r="H164">
            <v>82267.929999999993</v>
          </cell>
        </row>
        <row r="167">
          <cell r="A167" t="str">
            <v>II.</v>
          </cell>
          <cell r="C167" t="str">
            <v>URUTAN KERJA</v>
          </cell>
        </row>
        <row r="169">
          <cell r="A169">
            <v>1</v>
          </cell>
          <cell r="C169" t="str">
            <v>Excavator sekaligus memuat batu kali</v>
          </cell>
        </row>
        <row r="170">
          <cell r="C170" t="str">
            <v>hasil galian ke dalam Dump Truck</v>
          </cell>
        </row>
        <row r="171">
          <cell r="A171">
            <v>2</v>
          </cell>
          <cell r="C171" t="str">
            <v>Dump Truck mengangkut batu kali ke</v>
          </cell>
        </row>
        <row r="172">
          <cell r="C172" t="str">
            <v>lokasi pekerjaan</v>
          </cell>
        </row>
        <row r="174">
          <cell r="A174" t="str">
            <v>III.</v>
          </cell>
          <cell r="C174" t="str">
            <v>PERHITUNGAN</v>
          </cell>
        </row>
        <row r="176">
          <cell r="C176" t="str">
            <v>EXCAVATOR</v>
          </cell>
          <cell r="E176" t="str">
            <v>(E10)</v>
          </cell>
        </row>
        <row r="177">
          <cell r="C177" t="str">
            <v>Kapasitas Bucket</v>
          </cell>
          <cell r="E177" t="str">
            <v>V</v>
          </cell>
          <cell r="F177">
            <v>0.5</v>
          </cell>
          <cell r="G177" t="str">
            <v>M3</v>
          </cell>
        </row>
        <row r="178">
          <cell r="C178" t="str">
            <v>Faktor Bucket</v>
          </cell>
          <cell r="E178" t="str">
            <v>Fb</v>
          </cell>
          <cell r="F178">
            <v>0.9</v>
          </cell>
          <cell r="G178" t="str">
            <v>-</v>
          </cell>
        </row>
        <row r="179">
          <cell r="C179" t="str">
            <v>Faktor  Efisiensi alat</v>
          </cell>
          <cell r="E179" t="str">
            <v>Fa</v>
          </cell>
          <cell r="F179">
            <v>0.83</v>
          </cell>
          <cell r="G179" t="str">
            <v>-</v>
          </cell>
        </row>
        <row r="180">
          <cell r="C180" t="str">
            <v>Waktu siklus</v>
          </cell>
          <cell r="E180" t="str">
            <v>Ts1</v>
          </cell>
        </row>
        <row r="181">
          <cell r="C181" t="str">
            <v>- Menggali / memuat</v>
          </cell>
          <cell r="E181" t="str">
            <v>T1</v>
          </cell>
          <cell r="F181">
            <v>0.45</v>
          </cell>
          <cell r="G181" t="str">
            <v>menit</v>
          </cell>
        </row>
        <row r="182">
          <cell r="C182" t="str">
            <v>- Lain-lain</v>
          </cell>
          <cell r="E182" t="str">
            <v>T2</v>
          </cell>
          <cell r="F182">
            <v>0.25</v>
          </cell>
          <cell r="G182" t="str">
            <v>menit</v>
          </cell>
        </row>
        <row r="183">
          <cell r="E183" t="str">
            <v>Ts1</v>
          </cell>
          <cell r="F183">
            <v>0.7</v>
          </cell>
          <cell r="G183" t="str">
            <v>menit</v>
          </cell>
        </row>
        <row r="184">
          <cell r="C184" t="str">
            <v>Kap. Prod. / jam =</v>
          </cell>
        </row>
        <row r="185">
          <cell r="C185" t="str">
            <v>V  x Fb x Fa x 60</v>
          </cell>
          <cell r="E185" t="str">
            <v>Q1</v>
          </cell>
          <cell r="F185">
            <v>32.014299999999999</v>
          </cell>
          <cell r="G185" t="str">
            <v>M3 / Jam</v>
          </cell>
        </row>
        <row r="186">
          <cell r="C186" t="str">
            <v>Ts1</v>
          </cell>
        </row>
        <row r="191">
          <cell r="C191" t="str">
            <v>DUMP TRUCK</v>
          </cell>
          <cell r="E191" t="str">
            <v>(E08)</v>
          </cell>
        </row>
        <row r="192">
          <cell r="C192" t="str">
            <v>Kapasitas bak</v>
          </cell>
          <cell r="E192" t="str">
            <v>V</v>
          </cell>
          <cell r="F192">
            <v>4</v>
          </cell>
          <cell r="G192" t="str">
            <v>M3</v>
          </cell>
        </row>
        <row r="193">
          <cell r="C193" t="str">
            <v>Faktor  efisiensi alat</v>
          </cell>
          <cell r="E193" t="str">
            <v>Fa</v>
          </cell>
          <cell r="F193">
            <v>0.83</v>
          </cell>
          <cell r="G193" t="str">
            <v>-</v>
          </cell>
        </row>
        <row r="194">
          <cell r="C194" t="str">
            <v>Kecepatan rata-rata bermuatan</v>
          </cell>
          <cell r="E194" t="str">
            <v>v1</v>
          </cell>
          <cell r="F194">
            <v>40</v>
          </cell>
          <cell r="G194" t="str">
            <v>KM/Jam</v>
          </cell>
        </row>
        <row r="195">
          <cell r="C195" t="str">
            <v>Kecepatan rata-rata kosong</v>
          </cell>
          <cell r="E195" t="str">
            <v>v2</v>
          </cell>
          <cell r="F195">
            <v>60</v>
          </cell>
          <cell r="G195" t="str">
            <v>KM/Jam</v>
          </cell>
        </row>
        <row r="196">
          <cell r="C196" t="str">
            <v>Waktu  siklus</v>
          </cell>
          <cell r="E196" t="str">
            <v>Ts2</v>
          </cell>
        </row>
        <row r="197">
          <cell r="C197" t="str">
            <v>- Waktu tempuh isi  =  (L/v1) x 60</v>
          </cell>
          <cell r="E197" t="str">
            <v>T1</v>
          </cell>
          <cell r="F197">
            <v>37.5</v>
          </cell>
          <cell r="G197" t="str">
            <v>menit</v>
          </cell>
        </row>
        <row r="198">
          <cell r="C198" t="str">
            <v>- Waktu tempuh kosong  =  (L/v2) x 60</v>
          </cell>
          <cell r="E198" t="str">
            <v>T2</v>
          </cell>
          <cell r="F198">
            <v>25</v>
          </cell>
          <cell r="G198" t="str">
            <v>menit</v>
          </cell>
        </row>
        <row r="199">
          <cell r="C199" t="str">
            <v>- Muat   =  (V/Q1) x 60</v>
          </cell>
          <cell r="E199" t="str">
            <v>T3</v>
          </cell>
          <cell r="F199">
            <v>7.4965999999999999</v>
          </cell>
          <cell r="G199" t="str">
            <v>menit</v>
          </cell>
        </row>
        <row r="200">
          <cell r="C200" t="str">
            <v>- Lain-lain</v>
          </cell>
          <cell r="E200" t="str">
            <v>T4</v>
          </cell>
          <cell r="F200">
            <v>1</v>
          </cell>
          <cell r="G200" t="str">
            <v>menit</v>
          </cell>
        </row>
        <row r="201">
          <cell r="E201" t="str">
            <v>Ts2</v>
          </cell>
          <cell r="F201">
            <v>70.996600000000001</v>
          </cell>
          <cell r="G201" t="str">
            <v>menit</v>
          </cell>
        </row>
        <row r="203">
          <cell r="H203" t="str">
            <v>Bersambung</v>
          </cell>
        </row>
        <row r="204">
          <cell r="A204" t="str">
            <v>ANALISA HARGA DASAR SATUAN BAHAN</v>
          </cell>
        </row>
        <row r="206">
          <cell r="A206" t="str">
            <v>Jenis</v>
          </cell>
          <cell r="B206" t="str">
            <v>:</v>
          </cell>
          <cell r="C206" t="str">
            <v>M06  -  Batu Belah</v>
          </cell>
        </row>
        <row r="207">
          <cell r="A207" t="str">
            <v>Lokasi</v>
          </cell>
          <cell r="B207" t="str">
            <v>:</v>
          </cell>
          <cell r="C207" t="str">
            <v>Quarry</v>
          </cell>
        </row>
        <row r="208">
          <cell r="A208" t="str">
            <v>Tujuan</v>
          </cell>
          <cell r="B208" t="str">
            <v>:</v>
          </cell>
          <cell r="C208" t="str">
            <v>Lokasi Pekerjaan</v>
          </cell>
        </row>
        <row r="210">
          <cell r="H210" t="str">
            <v>Lanjutan</v>
          </cell>
        </row>
        <row r="211">
          <cell r="H211" t="str">
            <v>HARGA</v>
          </cell>
        </row>
        <row r="212">
          <cell r="A212" t="str">
            <v>No.</v>
          </cell>
          <cell r="B212" t="str">
            <v>URAIAN</v>
          </cell>
          <cell r="E212" t="str">
            <v>KODE</v>
          </cell>
          <cell r="F212" t="str">
            <v>KOEF.</v>
          </cell>
          <cell r="G212" t="str">
            <v>SATUAN</v>
          </cell>
          <cell r="H212" t="str">
            <v>SATUAN</v>
          </cell>
        </row>
        <row r="213">
          <cell r="H213" t="str">
            <v>(Rp.)</v>
          </cell>
        </row>
        <row r="215">
          <cell r="C215" t="str">
            <v>Kapasitas Produksi / Jam   =</v>
          </cell>
        </row>
        <row r="216">
          <cell r="C216" t="str">
            <v>V x Fa x 60</v>
          </cell>
          <cell r="E216" t="str">
            <v>Q2</v>
          </cell>
          <cell r="F216">
            <v>2.8058000000000001</v>
          </cell>
          <cell r="G216" t="str">
            <v>M3 / Jam</v>
          </cell>
        </row>
        <row r="217">
          <cell r="C217" t="str">
            <v>Ts2</v>
          </cell>
        </row>
        <row r="219">
          <cell r="C219" t="str">
            <v>Biaya Dump Truck / M3  =  (1 : Q2) x RpE08</v>
          </cell>
          <cell r="E219" t="str">
            <v>Rp1</v>
          </cell>
          <cell r="F219">
            <v>29320.6679</v>
          </cell>
          <cell r="G219" t="str">
            <v>Rupiah</v>
          </cell>
        </row>
        <row r="222">
          <cell r="A222" t="str">
            <v>IV.</v>
          </cell>
          <cell r="C222" t="str">
            <v>HARGA SATUAN DASAR BAHAN</v>
          </cell>
        </row>
        <row r="223">
          <cell r="C223" t="str">
            <v>DI LOKASI PEKERJAAN</v>
          </cell>
        </row>
        <row r="225">
          <cell r="C225" t="str">
            <v>Harga Satuan Dasar Batu kali   =</v>
          </cell>
        </row>
        <row r="227">
          <cell r="C227" t="str">
            <v>(  RpM02  +  Rp1 )</v>
          </cell>
          <cell r="E227" t="str">
            <v>M02</v>
          </cell>
          <cell r="F227">
            <v>54320.6679</v>
          </cell>
          <cell r="G227" t="str">
            <v>Rupiah</v>
          </cell>
        </row>
        <row r="229">
          <cell r="C229" t="str">
            <v>Dibulatkan   :</v>
          </cell>
          <cell r="E229" t="str">
            <v>M02</v>
          </cell>
          <cell r="F229">
            <v>54300</v>
          </cell>
          <cell r="G229" t="str">
            <v>Rupiah</v>
          </cell>
        </row>
        <row r="260">
          <cell r="A260" t="str">
            <v>ANALISA HARGA DASAR SATUAN BAHAN</v>
          </cell>
        </row>
        <row r="262">
          <cell r="A262" t="str">
            <v>Jenis</v>
          </cell>
          <cell r="B262" t="str">
            <v>:</v>
          </cell>
          <cell r="C262" t="str">
            <v>M03  -  Agregate Kasar, untuk Base.</v>
          </cell>
        </row>
        <row r="263">
          <cell r="A263" t="str">
            <v>Lokasi</v>
          </cell>
          <cell r="B263" t="str">
            <v>:</v>
          </cell>
          <cell r="C263" t="str">
            <v>Quarry</v>
          </cell>
        </row>
        <row r="264">
          <cell r="A264" t="str">
            <v>Tujuan</v>
          </cell>
          <cell r="B264" t="str">
            <v>:</v>
          </cell>
          <cell r="C264" t="str">
            <v>Base Camp.</v>
          </cell>
        </row>
        <row r="266">
          <cell r="H266" t="str">
            <v>HARGA</v>
          </cell>
        </row>
        <row r="267">
          <cell r="A267" t="str">
            <v>No.</v>
          </cell>
          <cell r="B267" t="str">
            <v>URAIAN</v>
          </cell>
          <cell r="E267" t="str">
            <v>KODE</v>
          </cell>
          <cell r="F267" t="str">
            <v>KOEF.</v>
          </cell>
          <cell r="G267" t="str">
            <v>SATUAN</v>
          </cell>
          <cell r="H267" t="str">
            <v>SATUAN</v>
          </cell>
        </row>
        <row r="268">
          <cell r="H268" t="str">
            <v>(Rp.)</v>
          </cell>
        </row>
        <row r="270">
          <cell r="A270" t="str">
            <v>I.</v>
          </cell>
          <cell r="C270" t="str">
            <v>ASUMSI</v>
          </cell>
        </row>
        <row r="271">
          <cell r="A271">
            <v>1</v>
          </cell>
          <cell r="C271" t="str">
            <v>Menggunakan alat berat</v>
          </cell>
        </row>
        <row r="272">
          <cell r="A272">
            <v>2</v>
          </cell>
          <cell r="C272" t="str">
            <v>Kondisi Jalan   :  sedang / baik</v>
          </cell>
        </row>
        <row r="273">
          <cell r="A273">
            <v>3</v>
          </cell>
          <cell r="C273" t="str">
            <v>Jarak Quarry ke Base Camp.</v>
          </cell>
          <cell r="E273" t="str">
            <v>L</v>
          </cell>
          <cell r="F273">
            <v>0</v>
          </cell>
          <cell r="G273" t="str">
            <v>Km</v>
          </cell>
        </row>
        <row r="274">
          <cell r="A274">
            <v>4</v>
          </cell>
          <cell r="C274" t="str">
            <v>Harga satuan Agregate di Quarry</v>
          </cell>
          <cell r="E274" t="str">
            <v>RpM03</v>
          </cell>
          <cell r="F274">
            <v>1</v>
          </cell>
          <cell r="G274" t="str">
            <v>M3</v>
          </cell>
          <cell r="H274">
            <v>0</v>
          </cell>
        </row>
        <row r="275">
          <cell r="A275">
            <v>5</v>
          </cell>
          <cell r="C275" t="str">
            <v>Harga Satuan Dasar Dump Truck</v>
          </cell>
          <cell r="E275" t="str">
            <v>RpE08</v>
          </cell>
          <cell r="F275">
            <v>1</v>
          </cell>
          <cell r="G275" t="str">
            <v>Jam</v>
          </cell>
          <cell r="H275">
            <v>82267.929999999993</v>
          </cell>
        </row>
        <row r="278">
          <cell r="A278" t="str">
            <v>II.</v>
          </cell>
          <cell r="C278" t="str">
            <v>URUTAN KERJA</v>
          </cell>
        </row>
        <row r="280">
          <cell r="A280">
            <v>1</v>
          </cell>
          <cell r="C280" t="str">
            <v>Excavator sekaligus memuat Agregate</v>
          </cell>
        </row>
        <row r="281">
          <cell r="C281" t="str">
            <v>ke dalam Dump Truck</v>
          </cell>
        </row>
        <row r="282">
          <cell r="A282">
            <v>2</v>
          </cell>
          <cell r="C282" t="str">
            <v>Dump Truck mengangkut Agregate</v>
          </cell>
        </row>
        <row r="283">
          <cell r="C283" t="str">
            <v>ke lokasi pekerjaan</v>
          </cell>
        </row>
        <row r="285">
          <cell r="A285" t="str">
            <v>III.</v>
          </cell>
          <cell r="C285" t="str">
            <v>PERHITUNGAN</v>
          </cell>
        </row>
        <row r="287">
          <cell r="C287" t="str">
            <v>EXCAVATOR</v>
          </cell>
          <cell r="E287" t="str">
            <v>(E10)</v>
          </cell>
        </row>
        <row r="288">
          <cell r="C288" t="str">
            <v>Kapasitas Bucket</v>
          </cell>
          <cell r="E288" t="str">
            <v>V</v>
          </cell>
          <cell r="F288">
            <v>0.5</v>
          </cell>
          <cell r="G288" t="str">
            <v>M3</v>
          </cell>
        </row>
        <row r="289">
          <cell r="C289" t="str">
            <v>Faktor Bucket</v>
          </cell>
          <cell r="E289" t="str">
            <v>Fb</v>
          </cell>
          <cell r="F289">
            <v>0.9</v>
          </cell>
          <cell r="G289" t="str">
            <v>-</v>
          </cell>
        </row>
        <row r="290">
          <cell r="C290" t="str">
            <v>Faktor  Efisiensi alat</v>
          </cell>
          <cell r="E290" t="str">
            <v>Fa</v>
          </cell>
          <cell r="F290">
            <v>0.83</v>
          </cell>
          <cell r="G290" t="str">
            <v>-</v>
          </cell>
        </row>
        <row r="291">
          <cell r="C291" t="str">
            <v>Waktu siklus</v>
          </cell>
          <cell r="E291" t="str">
            <v>Ts1</v>
          </cell>
        </row>
        <row r="292">
          <cell r="C292" t="str">
            <v>- Menggali / memuat</v>
          </cell>
          <cell r="E292" t="str">
            <v>T1</v>
          </cell>
          <cell r="F292">
            <v>0.45</v>
          </cell>
          <cell r="G292" t="str">
            <v>menit</v>
          </cell>
        </row>
        <row r="293">
          <cell r="C293" t="str">
            <v>- Lain-lain</v>
          </cell>
          <cell r="E293" t="str">
            <v>T2</v>
          </cell>
          <cell r="F293">
            <v>0.25</v>
          </cell>
          <cell r="G293" t="str">
            <v>menit</v>
          </cell>
        </row>
        <row r="294">
          <cell r="E294" t="str">
            <v>Ts1</v>
          </cell>
          <cell r="F294">
            <v>0.7</v>
          </cell>
          <cell r="G294" t="str">
            <v>menit</v>
          </cell>
        </row>
        <row r="295">
          <cell r="C295" t="str">
            <v>Kap. Prod. / jam =</v>
          </cell>
        </row>
        <row r="296">
          <cell r="C296" t="str">
            <v>V  x Fb x Fa x 60</v>
          </cell>
          <cell r="E296" t="str">
            <v>Q1</v>
          </cell>
          <cell r="F296">
            <v>32.014299999999999</v>
          </cell>
          <cell r="G296" t="str">
            <v>M3 / Jam</v>
          </cell>
        </row>
        <row r="297">
          <cell r="C297" t="str">
            <v>Ts1</v>
          </cell>
        </row>
        <row r="302">
          <cell r="C302" t="str">
            <v>DUMP TRUCK</v>
          </cell>
          <cell r="E302" t="str">
            <v>(E08)</v>
          </cell>
        </row>
        <row r="303">
          <cell r="C303" t="str">
            <v>Kapasitas bak</v>
          </cell>
          <cell r="E303" t="str">
            <v>V</v>
          </cell>
          <cell r="F303">
            <v>4</v>
          </cell>
          <cell r="G303" t="str">
            <v>M3</v>
          </cell>
        </row>
        <row r="304">
          <cell r="C304" t="str">
            <v>Faktor  efisiensi alat</v>
          </cell>
          <cell r="E304" t="str">
            <v>Fa</v>
          </cell>
          <cell r="F304">
            <v>0.83</v>
          </cell>
          <cell r="G304" t="str">
            <v>-</v>
          </cell>
        </row>
        <row r="305">
          <cell r="C305" t="str">
            <v>Kecepatan rata-rata bermuatan</v>
          </cell>
          <cell r="E305" t="str">
            <v>v1</v>
          </cell>
          <cell r="F305">
            <v>40</v>
          </cell>
          <cell r="G305" t="str">
            <v>KM/Jam</v>
          </cell>
        </row>
        <row r="306">
          <cell r="C306" t="str">
            <v>Kecepatan rata-rata kosong</v>
          </cell>
          <cell r="E306" t="str">
            <v>v2</v>
          </cell>
          <cell r="F306">
            <v>60</v>
          </cell>
          <cell r="G306" t="str">
            <v>KM/Jam</v>
          </cell>
        </row>
        <row r="307">
          <cell r="C307" t="str">
            <v>Waktu  siklus</v>
          </cell>
          <cell r="E307" t="str">
            <v>Ts2</v>
          </cell>
        </row>
        <row r="308">
          <cell r="C308" t="str">
            <v>- Waktu tempuh isi  =  (L/v1) x 60</v>
          </cell>
          <cell r="E308" t="str">
            <v>T1</v>
          </cell>
          <cell r="F308">
            <v>0</v>
          </cell>
          <cell r="G308" t="str">
            <v>menit</v>
          </cell>
        </row>
        <row r="309">
          <cell r="C309" t="str">
            <v>- Waktu tempuh kosong  =  (L/v2) x 60</v>
          </cell>
          <cell r="E309" t="str">
            <v>T2</v>
          </cell>
          <cell r="F309">
            <v>0</v>
          </cell>
          <cell r="G309" t="str">
            <v>menit</v>
          </cell>
        </row>
        <row r="310">
          <cell r="C310" t="str">
            <v>- Muat   =  (V/Q1) x 60</v>
          </cell>
          <cell r="E310" t="str">
            <v>T3</v>
          </cell>
          <cell r="F310">
            <v>7.4965999999999999</v>
          </cell>
          <cell r="G310" t="str">
            <v>menit</v>
          </cell>
        </row>
        <row r="311">
          <cell r="C311" t="str">
            <v>- Lain-lain</v>
          </cell>
          <cell r="E311" t="str">
            <v>T4</v>
          </cell>
          <cell r="F311">
            <v>1</v>
          </cell>
          <cell r="G311" t="str">
            <v>menit</v>
          </cell>
        </row>
        <row r="312">
          <cell r="E312" t="str">
            <v>Ts2</v>
          </cell>
          <cell r="F312">
            <v>8.4966000000000008</v>
          </cell>
          <cell r="G312" t="str">
            <v>menit</v>
          </cell>
        </row>
        <row r="314">
          <cell r="H314" t="str">
            <v>Bersambung</v>
          </cell>
        </row>
        <row r="315">
          <cell r="A315" t="str">
            <v>ANALISA HARGA DASAR SATUAN BAHAN</v>
          </cell>
        </row>
        <row r="317">
          <cell r="A317" t="str">
            <v>Jenis</v>
          </cell>
          <cell r="B317" t="str">
            <v>:</v>
          </cell>
          <cell r="C317" t="str">
            <v>M03  -  Agregate Kasar, untuk Base.</v>
          </cell>
        </row>
        <row r="318">
          <cell r="A318" t="str">
            <v>Lokasi</v>
          </cell>
          <cell r="B318" t="str">
            <v>:</v>
          </cell>
          <cell r="C318" t="str">
            <v>Quarry</v>
          </cell>
        </row>
        <row r="319">
          <cell r="A319" t="str">
            <v>Tujuan</v>
          </cell>
          <cell r="B319" t="str">
            <v>:</v>
          </cell>
          <cell r="C319" t="str">
            <v>Base Camp.</v>
          </cell>
        </row>
        <row r="321">
          <cell r="H321" t="str">
            <v>Lanjutan</v>
          </cell>
        </row>
        <row r="322">
          <cell r="H322" t="str">
            <v>HARGA</v>
          </cell>
        </row>
        <row r="323">
          <cell r="A323" t="str">
            <v>No.</v>
          </cell>
          <cell r="B323" t="str">
            <v>URAIAN</v>
          </cell>
          <cell r="E323" t="str">
            <v>KODE</v>
          </cell>
          <cell r="F323" t="str">
            <v>KOEF.</v>
          </cell>
          <cell r="G323" t="str">
            <v>SATUAN</v>
          </cell>
          <cell r="H323" t="str">
            <v>SATUAN</v>
          </cell>
        </row>
        <row r="324">
          <cell r="H324" t="str">
            <v>(Rp.)</v>
          </cell>
        </row>
        <row r="326">
          <cell r="C326" t="str">
            <v>Kapasitas Produksi / Jam   =</v>
          </cell>
        </row>
        <row r="327">
          <cell r="C327" t="str">
            <v>V x Fa x 60</v>
          </cell>
          <cell r="E327" t="str">
            <v>Q2</v>
          </cell>
          <cell r="F327">
            <v>23.444700000000001</v>
          </cell>
          <cell r="G327" t="str">
            <v>M3 / Jam</v>
          </cell>
        </row>
        <row r="328">
          <cell r="C328" t="str">
            <v>Ts2</v>
          </cell>
        </row>
        <row r="330">
          <cell r="C330" t="str">
            <v>Biaya Dump Truck / M3  =  (1 : Q2) x RpE08</v>
          </cell>
          <cell r="E330" t="str">
            <v>Rp1</v>
          </cell>
          <cell r="F330">
            <v>3509.0203999999999</v>
          </cell>
          <cell r="G330" t="str">
            <v>Rupiah</v>
          </cell>
        </row>
        <row r="333">
          <cell r="A333" t="str">
            <v>IV.</v>
          </cell>
          <cell r="C333" t="str">
            <v>HARGA SATUAN DASAR BAHAN</v>
          </cell>
        </row>
        <row r="334">
          <cell r="C334" t="str">
            <v>DI LOKASI PEKERJAAN</v>
          </cell>
        </row>
        <row r="336">
          <cell r="C336" t="str">
            <v>Harga Satuan Dasar  Agregate  =</v>
          </cell>
        </row>
        <row r="338">
          <cell r="C338" t="str">
            <v>(  RpM03  +  Rp1    )</v>
          </cell>
          <cell r="E338" t="str">
            <v>M03</v>
          </cell>
          <cell r="F338">
            <v>3509.0203999999999</v>
          </cell>
          <cell r="G338" t="str">
            <v>Rupiah</v>
          </cell>
        </row>
        <row r="340">
          <cell r="C340" t="str">
            <v>Dibulatkan   :</v>
          </cell>
          <cell r="E340" t="str">
            <v>M03</v>
          </cell>
          <cell r="F340">
            <v>3500</v>
          </cell>
          <cell r="G340" t="str">
            <v>Rupiah</v>
          </cell>
        </row>
        <row r="482">
          <cell r="A482" t="str">
            <v>ANALISA HARGA DASAR SATUAN BAHAN</v>
          </cell>
        </row>
        <row r="484">
          <cell r="A484" t="str">
            <v>Jenis</v>
          </cell>
          <cell r="B484" t="str">
            <v>:</v>
          </cell>
          <cell r="C484" t="str">
            <v>M04  -  Agregate Halus, untuk Base.</v>
          </cell>
        </row>
        <row r="485">
          <cell r="A485" t="str">
            <v>Lokasi</v>
          </cell>
          <cell r="B485" t="str">
            <v>:</v>
          </cell>
          <cell r="C485" t="str">
            <v>Quarry</v>
          </cell>
        </row>
        <row r="486">
          <cell r="A486" t="str">
            <v>Tujuan</v>
          </cell>
          <cell r="B486" t="str">
            <v>:</v>
          </cell>
          <cell r="C486" t="str">
            <v>Base Camp.</v>
          </cell>
        </row>
        <row r="488">
          <cell r="H488" t="str">
            <v>HARGA</v>
          </cell>
        </row>
        <row r="489">
          <cell r="A489" t="str">
            <v>No.</v>
          </cell>
          <cell r="B489" t="str">
            <v>URAIAN</v>
          </cell>
          <cell r="E489" t="str">
            <v>KODE</v>
          </cell>
          <cell r="F489" t="str">
            <v>KOEF.</v>
          </cell>
          <cell r="G489" t="str">
            <v>SATUAN</v>
          </cell>
          <cell r="H489" t="str">
            <v>SATUAN</v>
          </cell>
        </row>
        <row r="490">
          <cell r="H490" t="str">
            <v>(Rp.)</v>
          </cell>
        </row>
        <row r="492">
          <cell r="A492" t="str">
            <v>I.</v>
          </cell>
          <cell r="C492" t="str">
            <v>ASUMSI</v>
          </cell>
        </row>
        <row r="493">
          <cell r="A493">
            <v>1</v>
          </cell>
          <cell r="C493" t="str">
            <v>Menggunakan alat berat</v>
          </cell>
        </row>
        <row r="494">
          <cell r="A494">
            <v>2</v>
          </cell>
          <cell r="C494" t="str">
            <v>Kondisi Jalan   :  sedang / baik</v>
          </cell>
        </row>
        <row r="495">
          <cell r="A495">
            <v>3</v>
          </cell>
          <cell r="C495" t="str">
            <v>Jarak Quarry ke Base Camp.</v>
          </cell>
          <cell r="E495" t="str">
            <v>L</v>
          </cell>
          <cell r="F495">
            <v>0</v>
          </cell>
          <cell r="G495" t="str">
            <v>Km</v>
          </cell>
        </row>
        <row r="496">
          <cell r="A496">
            <v>4</v>
          </cell>
          <cell r="C496" t="str">
            <v>Harga satuan Agregate di Quarry</v>
          </cell>
          <cell r="E496" t="str">
            <v>RpM04</v>
          </cell>
          <cell r="F496">
            <v>1</v>
          </cell>
          <cell r="G496" t="str">
            <v>M3</v>
          </cell>
          <cell r="H496">
            <v>0</v>
          </cell>
        </row>
        <row r="497">
          <cell r="A497">
            <v>5</v>
          </cell>
          <cell r="C497" t="str">
            <v>Harga Satuan Dasar Dump Truck</v>
          </cell>
          <cell r="E497" t="str">
            <v>RpE08</v>
          </cell>
          <cell r="F497">
            <v>1</v>
          </cell>
          <cell r="G497" t="str">
            <v>Jam</v>
          </cell>
          <cell r="H497">
            <v>82267.929999999993</v>
          </cell>
        </row>
        <row r="500">
          <cell r="A500" t="str">
            <v>II.</v>
          </cell>
          <cell r="C500" t="str">
            <v>URUTAN KERJA</v>
          </cell>
        </row>
        <row r="502">
          <cell r="A502">
            <v>1</v>
          </cell>
          <cell r="C502" t="str">
            <v>Excavator sekaligus memuat Agregate</v>
          </cell>
        </row>
        <row r="503">
          <cell r="C503" t="str">
            <v>ke dalam Dump Truck</v>
          </cell>
        </row>
        <row r="504">
          <cell r="A504">
            <v>2</v>
          </cell>
          <cell r="C504" t="str">
            <v>Dump Truck mengangkut Agregate</v>
          </cell>
        </row>
        <row r="505">
          <cell r="C505" t="str">
            <v>ke lokasi pekerjaan</v>
          </cell>
        </row>
        <row r="507">
          <cell r="A507" t="str">
            <v>III.</v>
          </cell>
          <cell r="C507" t="str">
            <v>PERHITUNGAN</v>
          </cell>
        </row>
        <row r="509">
          <cell r="C509" t="str">
            <v>EXCAVATOR</v>
          </cell>
          <cell r="E509" t="str">
            <v>(E10)</v>
          </cell>
        </row>
        <row r="510">
          <cell r="C510" t="str">
            <v>Kapasitas Bucket</v>
          </cell>
          <cell r="E510" t="str">
            <v>V</v>
          </cell>
          <cell r="F510">
            <v>0.5</v>
          </cell>
          <cell r="G510" t="str">
            <v>M3</v>
          </cell>
        </row>
        <row r="511">
          <cell r="C511" t="str">
            <v>Faktor Bucket</v>
          </cell>
          <cell r="E511" t="str">
            <v>Fb</v>
          </cell>
          <cell r="F511">
            <v>0.9</v>
          </cell>
          <cell r="G511" t="str">
            <v>-</v>
          </cell>
        </row>
        <row r="512">
          <cell r="C512" t="str">
            <v>Faktor  Efisiensi alat</v>
          </cell>
          <cell r="E512" t="str">
            <v>Fa</v>
          </cell>
          <cell r="F512">
            <v>0.83</v>
          </cell>
          <cell r="G512" t="str">
            <v>-</v>
          </cell>
        </row>
        <row r="513">
          <cell r="C513" t="str">
            <v>Waktu siklus</v>
          </cell>
          <cell r="E513" t="str">
            <v>Ts1</v>
          </cell>
        </row>
        <row r="514">
          <cell r="C514" t="str">
            <v>- Menggali / memuat</v>
          </cell>
          <cell r="E514" t="str">
            <v>T1</v>
          </cell>
          <cell r="F514">
            <v>0.45</v>
          </cell>
          <cell r="G514" t="str">
            <v>menit</v>
          </cell>
        </row>
        <row r="515">
          <cell r="C515" t="str">
            <v>- Lain-lain</v>
          </cell>
          <cell r="E515" t="str">
            <v>T2</v>
          </cell>
          <cell r="F515">
            <v>0.25</v>
          </cell>
          <cell r="G515" t="str">
            <v>menit</v>
          </cell>
        </row>
        <row r="516">
          <cell r="E516" t="str">
            <v>Ts1</v>
          </cell>
          <cell r="F516">
            <v>0.7</v>
          </cell>
          <cell r="G516" t="str">
            <v>menit</v>
          </cell>
        </row>
        <row r="517">
          <cell r="C517" t="str">
            <v>Kap. Prod. / jam =</v>
          </cell>
        </row>
        <row r="518">
          <cell r="C518" t="str">
            <v>V  x Fb x Fa x 60</v>
          </cell>
          <cell r="E518" t="str">
            <v>Q1</v>
          </cell>
          <cell r="F518">
            <v>32.014299999999999</v>
          </cell>
          <cell r="G518" t="str">
            <v>M3 / Jam</v>
          </cell>
        </row>
        <row r="519">
          <cell r="C519" t="str">
            <v>Ts1</v>
          </cell>
        </row>
        <row r="524">
          <cell r="C524" t="str">
            <v>DUMP TRUCK</v>
          </cell>
          <cell r="E524" t="str">
            <v>(E08)</v>
          </cell>
        </row>
        <row r="525">
          <cell r="C525" t="str">
            <v>Kapasitas bak</v>
          </cell>
          <cell r="E525" t="str">
            <v>V</v>
          </cell>
          <cell r="F525">
            <v>4</v>
          </cell>
          <cell r="G525" t="str">
            <v>M3</v>
          </cell>
        </row>
        <row r="526">
          <cell r="C526" t="str">
            <v>Faktor  efisiensi alat</v>
          </cell>
          <cell r="E526" t="str">
            <v>Fa</v>
          </cell>
          <cell r="F526">
            <v>0.83</v>
          </cell>
          <cell r="G526" t="str">
            <v>-</v>
          </cell>
        </row>
        <row r="527">
          <cell r="C527" t="str">
            <v>Kecepatan rata-rata bermuatan</v>
          </cell>
          <cell r="E527" t="str">
            <v>v1</v>
          </cell>
          <cell r="F527">
            <v>40</v>
          </cell>
          <cell r="G527" t="str">
            <v>KM/Jam</v>
          </cell>
        </row>
        <row r="528">
          <cell r="C528" t="str">
            <v>Kecepatan rata-rata kosong</v>
          </cell>
          <cell r="E528" t="str">
            <v>v2</v>
          </cell>
          <cell r="F528">
            <v>60</v>
          </cell>
          <cell r="G528" t="str">
            <v>KM/Jam</v>
          </cell>
        </row>
        <row r="529">
          <cell r="C529" t="str">
            <v>Waktu  siklus</v>
          </cell>
          <cell r="E529" t="str">
            <v>Ts2</v>
          </cell>
        </row>
        <row r="530">
          <cell r="C530" t="str">
            <v>- Waktu tempuh isi  =  (L/v1) x 60</v>
          </cell>
          <cell r="E530" t="str">
            <v>T1</v>
          </cell>
          <cell r="F530">
            <v>0</v>
          </cell>
          <cell r="G530" t="str">
            <v>menit</v>
          </cell>
        </row>
        <row r="531">
          <cell r="C531" t="str">
            <v>- Waktu tempuh kosong  =  (L/v2) x 60</v>
          </cell>
          <cell r="E531" t="str">
            <v>T2</v>
          </cell>
          <cell r="F531">
            <v>0</v>
          </cell>
          <cell r="G531" t="str">
            <v>menit</v>
          </cell>
        </row>
        <row r="532">
          <cell r="C532" t="str">
            <v>- Muat   =  (V/Q1) x 60</v>
          </cell>
          <cell r="E532" t="str">
            <v>T3</v>
          </cell>
          <cell r="F532">
            <v>7.4965999999999999</v>
          </cell>
          <cell r="G532" t="str">
            <v>menit</v>
          </cell>
        </row>
        <row r="533">
          <cell r="C533" t="str">
            <v>- Lain-lain</v>
          </cell>
          <cell r="E533" t="str">
            <v>T4</v>
          </cell>
          <cell r="F533">
            <v>1</v>
          </cell>
          <cell r="G533" t="str">
            <v>menit</v>
          </cell>
        </row>
        <row r="534">
          <cell r="E534" t="str">
            <v>Ts2</v>
          </cell>
          <cell r="F534">
            <v>8.4966000000000008</v>
          </cell>
          <cell r="G534" t="str">
            <v>menit</v>
          </cell>
        </row>
        <row r="536">
          <cell r="H536" t="str">
            <v>Bersambung</v>
          </cell>
        </row>
        <row r="537">
          <cell r="A537" t="str">
            <v>ANALISA HARGA DASAR SATUAN BAHAN</v>
          </cell>
        </row>
        <row r="539">
          <cell r="A539" t="str">
            <v>Jenis</v>
          </cell>
          <cell r="B539" t="str">
            <v>:</v>
          </cell>
          <cell r="C539" t="str">
            <v>M04  -  Agregate Halus, untuk Base.</v>
          </cell>
        </row>
        <row r="540">
          <cell r="A540" t="str">
            <v>Lokasi</v>
          </cell>
          <cell r="B540" t="str">
            <v>:</v>
          </cell>
          <cell r="C540" t="str">
            <v>Quarry</v>
          </cell>
        </row>
        <row r="541">
          <cell r="A541" t="str">
            <v>Tujuan</v>
          </cell>
          <cell r="B541" t="str">
            <v>:</v>
          </cell>
          <cell r="C541" t="str">
            <v>Base Camp.</v>
          </cell>
        </row>
        <row r="543">
          <cell r="H543" t="str">
            <v>Lanjutan</v>
          </cell>
        </row>
        <row r="544">
          <cell r="H544" t="str">
            <v>HARGA</v>
          </cell>
        </row>
        <row r="545">
          <cell r="A545" t="str">
            <v>No.</v>
          </cell>
          <cell r="B545" t="str">
            <v>URAIAN</v>
          </cell>
          <cell r="E545" t="str">
            <v>KODE</v>
          </cell>
          <cell r="F545" t="str">
            <v>KOEF.</v>
          </cell>
          <cell r="G545" t="str">
            <v>SATUAN</v>
          </cell>
          <cell r="H545" t="str">
            <v>SATUAN</v>
          </cell>
        </row>
        <row r="546">
          <cell r="H546" t="str">
            <v>(Rp.)</v>
          </cell>
        </row>
        <row r="548">
          <cell r="C548" t="str">
            <v>Kapasitas Produksi / Jam   =</v>
          </cell>
        </row>
        <row r="549">
          <cell r="C549" t="str">
            <v>V x Fa x 60</v>
          </cell>
          <cell r="E549" t="str">
            <v>Q2</v>
          </cell>
          <cell r="F549">
            <v>23.444700000000001</v>
          </cell>
          <cell r="G549" t="str">
            <v>M3 / Jam</v>
          </cell>
        </row>
        <row r="550">
          <cell r="C550" t="str">
            <v>Ts2</v>
          </cell>
        </row>
        <row r="552">
          <cell r="C552" t="str">
            <v>Biaya Dump Truck / M3  =  (1 : Q2) x RpE08</v>
          </cell>
          <cell r="E552" t="str">
            <v>Rp1</v>
          </cell>
          <cell r="F552">
            <v>3509.0203999999999</v>
          </cell>
          <cell r="G552" t="str">
            <v>Rupiah</v>
          </cell>
        </row>
        <row r="555">
          <cell r="A555" t="str">
            <v>IV.</v>
          </cell>
          <cell r="C555" t="str">
            <v>HARGA SATUAN DASAR BAHAN</v>
          </cell>
        </row>
        <row r="556">
          <cell r="C556" t="str">
            <v>DI LOKASI PEKERJAAN</v>
          </cell>
        </row>
        <row r="558">
          <cell r="C558" t="str">
            <v>Harga Satuan Dasar  Agregate  =</v>
          </cell>
        </row>
        <row r="560">
          <cell r="C560" t="str">
            <v>(  RpM04  +  Rp1    )</v>
          </cell>
          <cell r="E560" t="str">
            <v>M04</v>
          </cell>
          <cell r="F560">
            <v>3509.0203999999999</v>
          </cell>
          <cell r="G560" t="str">
            <v>Rupiah</v>
          </cell>
        </row>
        <row r="562">
          <cell r="C562" t="str">
            <v>Dibulatkan   :</v>
          </cell>
          <cell r="E562" t="str">
            <v>M04</v>
          </cell>
          <cell r="F562">
            <v>3500</v>
          </cell>
          <cell r="G562" t="str">
            <v>Rupiah</v>
          </cell>
        </row>
      </sheetData>
      <sheetData sheetId="6">
        <row r="14">
          <cell r="F14">
            <v>3571.43</v>
          </cell>
        </row>
        <row r="33">
          <cell r="A33" t="str">
            <v>DAFTAR</v>
          </cell>
        </row>
        <row r="34">
          <cell r="A34" t="str">
            <v>HARGA DASAR SATUAN BAHAN</v>
          </cell>
        </row>
        <row r="36">
          <cell r="F36" t="str">
            <v>HARGA</v>
          </cell>
        </row>
        <row r="37">
          <cell r="A37" t="str">
            <v>No.</v>
          </cell>
          <cell r="B37" t="str">
            <v>U R A I A N</v>
          </cell>
          <cell r="D37" t="str">
            <v>KODE</v>
          </cell>
          <cell r="E37" t="str">
            <v>SATUAN</v>
          </cell>
          <cell r="F37" t="str">
            <v>SATUAN</v>
          </cell>
          <cell r="G37" t="str">
            <v>KETERANGAN</v>
          </cell>
        </row>
        <row r="38">
          <cell r="F38" t="str">
            <v>( Rp.)</v>
          </cell>
        </row>
        <row r="40">
          <cell r="A40">
            <v>1</v>
          </cell>
          <cell r="C40" t="str">
            <v>P a s i r</v>
          </cell>
          <cell r="D40" t="str">
            <v>M01</v>
          </cell>
          <cell r="E40" t="str">
            <v>M3</v>
          </cell>
          <cell r="F40">
            <v>48500</v>
          </cell>
          <cell r="G40" t="str">
            <v>Lokasi Pekerjaan</v>
          </cell>
        </row>
        <row r="41">
          <cell r="A41">
            <v>2</v>
          </cell>
          <cell r="C41" t="str">
            <v>Batu Kali</v>
          </cell>
          <cell r="D41" t="str">
            <v>M02</v>
          </cell>
          <cell r="E41" t="str">
            <v>M3</v>
          </cell>
          <cell r="F41">
            <v>0</v>
          </cell>
          <cell r="G41" t="str">
            <v>Lokasi Pekerjaan</v>
          </cell>
        </row>
        <row r="42">
          <cell r="A42">
            <v>3</v>
          </cell>
          <cell r="C42" t="str">
            <v>Agregat Kasar untuk Base</v>
          </cell>
          <cell r="D42" t="str">
            <v>M03</v>
          </cell>
          <cell r="E42" t="str">
            <v>M3</v>
          </cell>
          <cell r="F42">
            <v>0</v>
          </cell>
        </row>
        <row r="43">
          <cell r="C43" t="str">
            <v>Agregat Kasar untuk Lapen / Cor</v>
          </cell>
          <cell r="D43" t="str">
            <v>M03a</v>
          </cell>
          <cell r="E43" t="str">
            <v>M3</v>
          </cell>
          <cell r="F43">
            <v>120100</v>
          </cell>
          <cell r="G43" t="str">
            <v>Lokasi Pekerjaan</v>
          </cell>
        </row>
        <row r="44">
          <cell r="A44">
            <v>4</v>
          </cell>
          <cell r="C44" t="str">
            <v>Agregat Halus untuk Base</v>
          </cell>
          <cell r="D44" t="str">
            <v>M04</v>
          </cell>
          <cell r="E44" t="str">
            <v>M3</v>
          </cell>
          <cell r="F44">
            <v>0</v>
          </cell>
        </row>
        <row r="45">
          <cell r="C45" t="str">
            <v>Agregat Halus untuk Lapen</v>
          </cell>
          <cell r="D45" t="str">
            <v>M04a</v>
          </cell>
          <cell r="E45" t="str">
            <v>M3</v>
          </cell>
          <cell r="F45">
            <v>115100</v>
          </cell>
          <cell r="G45" t="str">
            <v>Lokasi Pekerjaan</v>
          </cell>
        </row>
        <row r="46">
          <cell r="A46">
            <v>5</v>
          </cell>
          <cell r="C46" t="str">
            <v>F i l l e r</v>
          </cell>
          <cell r="D46" t="str">
            <v>M05</v>
          </cell>
          <cell r="E46" t="str">
            <v>Kg</v>
          </cell>
          <cell r="F46">
            <v>100</v>
          </cell>
          <cell r="G46" t="str">
            <v>Proses/Base Camp</v>
          </cell>
        </row>
        <row r="47">
          <cell r="A47">
            <v>6</v>
          </cell>
          <cell r="C47" t="str">
            <v>Batu Belah</v>
          </cell>
          <cell r="D47" t="str">
            <v>M06</v>
          </cell>
          <cell r="E47" t="str">
            <v>M3</v>
          </cell>
          <cell r="F47">
            <v>54300</v>
          </cell>
          <cell r="G47" t="str">
            <v>Lokasi Pekerjaan</v>
          </cell>
        </row>
        <row r="48">
          <cell r="C48" t="str">
            <v>Batu Belah 10/15</v>
          </cell>
          <cell r="D48" t="str">
            <v>M06.a</v>
          </cell>
          <cell r="E48" t="str">
            <v>M3</v>
          </cell>
          <cell r="F48">
            <v>74300</v>
          </cell>
          <cell r="G48" t="str">
            <v>Lokasi Pekerjaan</v>
          </cell>
        </row>
        <row r="49">
          <cell r="C49" t="str">
            <v>Batu Belah  5/7</v>
          </cell>
          <cell r="D49" t="str">
            <v>M06.b</v>
          </cell>
          <cell r="E49" t="str">
            <v>M3</v>
          </cell>
          <cell r="F49">
            <v>79300</v>
          </cell>
          <cell r="G49" t="str">
            <v>Lokasi Pekerjaan</v>
          </cell>
        </row>
        <row r="50">
          <cell r="A50">
            <v>7</v>
          </cell>
          <cell r="C50" t="str">
            <v>G r a v e l</v>
          </cell>
          <cell r="D50" t="str">
            <v>M07</v>
          </cell>
          <cell r="E50" t="str">
            <v>M3</v>
          </cell>
          <cell r="F50">
            <v>0</v>
          </cell>
        </row>
        <row r="51">
          <cell r="A51">
            <v>8</v>
          </cell>
          <cell r="C51" t="str">
            <v>Material Tanah Timbunan</v>
          </cell>
          <cell r="D51" t="str">
            <v>M08</v>
          </cell>
          <cell r="E51" t="str">
            <v>M3</v>
          </cell>
          <cell r="F51">
            <v>5000</v>
          </cell>
          <cell r="G51" t="str">
            <v>Borrow Pit</v>
          </cell>
        </row>
        <row r="52">
          <cell r="A52">
            <v>9</v>
          </cell>
          <cell r="C52" t="str">
            <v>Material Pilihan</v>
          </cell>
          <cell r="D52" t="str">
            <v>M09</v>
          </cell>
          <cell r="E52" t="str">
            <v>M3</v>
          </cell>
          <cell r="F52">
            <v>10000</v>
          </cell>
          <cell r="G52" t="str">
            <v>Quarry</v>
          </cell>
        </row>
        <row r="53">
          <cell r="A53">
            <v>10</v>
          </cell>
          <cell r="C53" t="str">
            <v>Aspal Cement</v>
          </cell>
          <cell r="D53" t="str">
            <v>M10</v>
          </cell>
          <cell r="E53" t="str">
            <v>KG</v>
          </cell>
          <cell r="F53">
            <v>3500</v>
          </cell>
          <cell r="G53" t="str">
            <v>Base Camp</v>
          </cell>
        </row>
        <row r="54">
          <cell r="A54">
            <v>11</v>
          </cell>
          <cell r="C54" t="str">
            <v>Kerosen / Minyak Tanah</v>
          </cell>
          <cell r="D54" t="str">
            <v>M11</v>
          </cell>
          <cell r="E54" t="str">
            <v>LITER</v>
          </cell>
          <cell r="F54">
            <v>1500</v>
          </cell>
          <cell r="G54" t="str">
            <v>Base Camp</v>
          </cell>
        </row>
        <row r="55">
          <cell r="A55">
            <v>12</v>
          </cell>
          <cell r="C55" t="str">
            <v>Semen / PC  (50kg)</v>
          </cell>
          <cell r="D55" t="str">
            <v>M12</v>
          </cell>
          <cell r="E55" t="str">
            <v>Zak</v>
          </cell>
          <cell r="F55">
            <v>30000</v>
          </cell>
          <cell r="G55" t="str">
            <v>Base Camp</v>
          </cell>
        </row>
        <row r="56">
          <cell r="D56" t="str">
            <v>M12</v>
          </cell>
          <cell r="E56" t="str">
            <v>Kg</v>
          </cell>
          <cell r="F56">
            <v>600</v>
          </cell>
          <cell r="G56" t="str">
            <v>Base Camp</v>
          </cell>
        </row>
        <row r="57">
          <cell r="A57">
            <v>13</v>
          </cell>
          <cell r="C57" t="str">
            <v>Besi Beton</v>
          </cell>
          <cell r="D57" t="str">
            <v>M13</v>
          </cell>
          <cell r="E57" t="str">
            <v>Kg</v>
          </cell>
          <cell r="F57">
            <v>0</v>
          </cell>
        </row>
        <row r="58">
          <cell r="A58">
            <v>14</v>
          </cell>
          <cell r="C58" t="str">
            <v>Kawat Beton</v>
          </cell>
          <cell r="D58" t="str">
            <v>M14</v>
          </cell>
          <cell r="E58" t="str">
            <v>Kg</v>
          </cell>
          <cell r="F58">
            <v>6250</v>
          </cell>
          <cell r="G58" t="str">
            <v>Lokasi Pekerjaan</v>
          </cell>
        </row>
        <row r="59">
          <cell r="A59">
            <v>15</v>
          </cell>
          <cell r="C59" t="str">
            <v>Kawat Bronjong</v>
          </cell>
          <cell r="D59" t="str">
            <v>M15</v>
          </cell>
          <cell r="E59" t="str">
            <v>Kg</v>
          </cell>
          <cell r="F59">
            <v>0</v>
          </cell>
        </row>
        <row r="60">
          <cell r="A60">
            <v>16</v>
          </cell>
          <cell r="C60" t="str">
            <v>S i r t u / Krakal</v>
          </cell>
          <cell r="D60" t="str">
            <v>M16</v>
          </cell>
          <cell r="E60" t="str">
            <v>M3</v>
          </cell>
          <cell r="F60">
            <v>2800</v>
          </cell>
          <cell r="G60" t="str">
            <v>Lokasi Pekerjaan</v>
          </cell>
        </row>
        <row r="61">
          <cell r="A61">
            <v>17</v>
          </cell>
          <cell r="C61" t="str">
            <v>Cat Marka (Non Thermoplas)</v>
          </cell>
          <cell r="D61" t="str">
            <v>M17</v>
          </cell>
          <cell r="E61" t="str">
            <v>Kg</v>
          </cell>
          <cell r="F61">
            <v>75000</v>
          </cell>
          <cell r="G61" t="str">
            <v>Lokasi Pekerjaan</v>
          </cell>
        </row>
        <row r="62">
          <cell r="C62" t="str">
            <v>Cat Marka (Thermoplastic)</v>
          </cell>
          <cell r="D62" t="str">
            <v>M17</v>
          </cell>
          <cell r="E62" t="str">
            <v>Kg</v>
          </cell>
          <cell r="F62">
            <v>0</v>
          </cell>
        </row>
        <row r="63">
          <cell r="A63">
            <v>18</v>
          </cell>
          <cell r="C63" t="str">
            <v>P a k u</v>
          </cell>
          <cell r="D63" t="str">
            <v>M18</v>
          </cell>
          <cell r="E63" t="str">
            <v>Kg</v>
          </cell>
          <cell r="F63">
            <v>5500</v>
          </cell>
          <cell r="G63" t="str">
            <v>Lokasi Pekerjaan</v>
          </cell>
        </row>
        <row r="64">
          <cell r="A64">
            <v>19</v>
          </cell>
          <cell r="C64" t="str">
            <v>Kayu Perancah</v>
          </cell>
          <cell r="D64" t="str">
            <v>M19</v>
          </cell>
          <cell r="E64" t="str">
            <v>M3</v>
          </cell>
          <cell r="F64">
            <v>800000</v>
          </cell>
          <cell r="G64" t="str">
            <v>Lokasi Pekerjaan</v>
          </cell>
        </row>
        <row r="65">
          <cell r="A65">
            <v>20</v>
          </cell>
          <cell r="C65" t="str">
            <v>B e n s i n</v>
          </cell>
          <cell r="D65" t="str">
            <v>M20</v>
          </cell>
          <cell r="E65" t="str">
            <v>LITER</v>
          </cell>
          <cell r="F65">
            <v>1825</v>
          </cell>
          <cell r="G65" t="str">
            <v>Base Camp.</v>
          </cell>
        </row>
        <row r="66">
          <cell r="A66">
            <v>21</v>
          </cell>
          <cell r="C66" t="str">
            <v>S o l a r</v>
          </cell>
          <cell r="D66" t="str">
            <v>M21</v>
          </cell>
          <cell r="E66" t="str">
            <v>LITER</v>
          </cell>
          <cell r="F66">
            <v>1700</v>
          </cell>
          <cell r="G66" t="str">
            <v>Base Camp.</v>
          </cell>
        </row>
        <row r="67">
          <cell r="A67">
            <v>22</v>
          </cell>
          <cell r="C67" t="str">
            <v>Minyak Pelumas / Olie</v>
          </cell>
          <cell r="D67" t="str">
            <v>M22</v>
          </cell>
          <cell r="E67" t="str">
            <v>LITER</v>
          </cell>
          <cell r="F67">
            <v>17500</v>
          </cell>
          <cell r="G67" t="str">
            <v>Base Camp.</v>
          </cell>
        </row>
        <row r="68">
          <cell r="A68">
            <v>23</v>
          </cell>
          <cell r="C68" t="str">
            <v>Plastik Filter</v>
          </cell>
          <cell r="D68" t="str">
            <v>M23</v>
          </cell>
          <cell r="E68" t="str">
            <v>M2</v>
          </cell>
          <cell r="F68">
            <v>0</v>
          </cell>
        </row>
        <row r="69">
          <cell r="A69">
            <v>24</v>
          </cell>
          <cell r="C69" t="str">
            <v>Pipa Galvanis Dia. 3"</v>
          </cell>
          <cell r="D69" t="str">
            <v>M24</v>
          </cell>
          <cell r="E69" t="str">
            <v>Batang</v>
          </cell>
          <cell r="F69">
            <v>300000</v>
          </cell>
          <cell r="G69" t="str">
            <v>Base Camp.</v>
          </cell>
        </row>
        <row r="70">
          <cell r="C70" t="str">
            <v>Pipa Galvanis Dia. 3"</v>
          </cell>
          <cell r="D70" t="str">
            <v>M24</v>
          </cell>
          <cell r="E70" t="str">
            <v>M'</v>
          </cell>
          <cell r="F70">
            <v>50000</v>
          </cell>
          <cell r="G70" t="str">
            <v>Base Camp.</v>
          </cell>
        </row>
        <row r="71">
          <cell r="A71">
            <v>25</v>
          </cell>
          <cell r="C71" t="str">
            <v>Gebalan Rumput</v>
          </cell>
          <cell r="D71" t="str">
            <v>M32</v>
          </cell>
          <cell r="E71" t="str">
            <v>M2</v>
          </cell>
          <cell r="F71">
            <v>0</v>
          </cell>
          <cell r="G71" t="str">
            <v>Lokasi Pekerjaan</v>
          </cell>
        </row>
        <row r="72">
          <cell r="A72">
            <v>26</v>
          </cell>
          <cell r="C72" t="str">
            <v>Pelat Rambu (Eng. Grade)</v>
          </cell>
          <cell r="D72" t="str">
            <v>M35</v>
          </cell>
          <cell r="E72" t="str">
            <v>BH</v>
          </cell>
          <cell r="F72">
            <v>0</v>
          </cell>
          <cell r="G72" t="str">
            <v>Base Camp</v>
          </cell>
        </row>
        <row r="73">
          <cell r="C73" t="str">
            <v>Pelat Rambu (High I. Grade)</v>
          </cell>
          <cell r="D73" t="str">
            <v>M35</v>
          </cell>
          <cell r="E73" t="str">
            <v>BH</v>
          </cell>
          <cell r="F73">
            <v>0</v>
          </cell>
        </row>
        <row r="74">
          <cell r="A74">
            <v>27</v>
          </cell>
          <cell r="C74" t="str">
            <v>Rel Pengaman</v>
          </cell>
          <cell r="D74" t="str">
            <v>M36</v>
          </cell>
          <cell r="E74" t="str">
            <v>M'</v>
          </cell>
          <cell r="F74">
            <v>0</v>
          </cell>
        </row>
        <row r="75">
          <cell r="A75">
            <v>28</v>
          </cell>
          <cell r="C75" t="str">
            <v>Beton K-250</v>
          </cell>
          <cell r="D75" t="str">
            <v>M37</v>
          </cell>
          <cell r="E75" t="str">
            <v>M3</v>
          </cell>
          <cell r="F75">
            <v>460243.23</v>
          </cell>
          <cell r="G75" t="str">
            <v>Lokasi Pekerjaan</v>
          </cell>
        </row>
        <row r="76">
          <cell r="A76">
            <v>29</v>
          </cell>
          <cell r="C76" t="str">
            <v>Beton K-175</v>
          </cell>
          <cell r="D76" t="str">
            <v>M38</v>
          </cell>
          <cell r="E76" t="str">
            <v>M3</v>
          </cell>
          <cell r="F76">
            <v>0</v>
          </cell>
          <cell r="G76" t="str">
            <v>Lokasi Pekerjaan</v>
          </cell>
        </row>
        <row r="77">
          <cell r="A77">
            <v>30</v>
          </cell>
          <cell r="C77" t="str">
            <v>Baja Tulangan (Polos)</v>
          </cell>
          <cell r="D77" t="str">
            <v>M39a</v>
          </cell>
          <cell r="E77" t="str">
            <v>Kg</v>
          </cell>
          <cell r="F77">
            <v>5800</v>
          </cell>
          <cell r="G77" t="str">
            <v>Lokasi Pekerjaan</v>
          </cell>
        </row>
        <row r="78">
          <cell r="C78" t="str">
            <v>Baja Tulangan (Ulir)</v>
          </cell>
          <cell r="D78" t="str">
            <v>M39b</v>
          </cell>
          <cell r="E78" t="str">
            <v>Kg</v>
          </cell>
          <cell r="F78">
            <v>0</v>
          </cell>
          <cell r="G78" t="str">
            <v>Base Camp</v>
          </cell>
        </row>
        <row r="79">
          <cell r="A79">
            <v>31</v>
          </cell>
          <cell r="C79" t="str">
            <v>Pasir Urug</v>
          </cell>
          <cell r="D79" t="str">
            <v>M44</v>
          </cell>
          <cell r="E79" t="str">
            <v>M3</v>
          </cell>
          <cell r="F79">
            <v>46000</v>
          </cell>
          <cell r="G79" t="str">
            <v>Lokasi Pekerjaan</v>
          </cell>
        </row>
        <row r="80">
          <cell r="A80">
            <v>32</v>
          </cell>
          <cell r="C80" t="str">
            <v>Beton K-125</v>
          </cell>
          <cell r="D80" t="str">
            <v>M47</v>
          </cell>
          <cell r="E80" t="str">
            <v>M3</v>
          </cell>
          <cell r="F80">
            <v>0</v>
          </cell>
          <cell r="G80" t="str">
            <v>Lokasi Pekerjaan</v>
          </cell>
        </row>
        <row r="81">
          <cell r="A81">
            <v>33</v>
          </cell>
          <cell r="C81" t="str">
            <v>Beton K - 300</v>
          </cell>
          <cell r="D81" t="str">
            <v>M49</v>
          </cell>
          <cell r="E81" t="str">
            <v>M'</v>
          </cell>
          <cell r="F81">
            <v>0</v>
          </cell>
          <cell r="G81" t="str">
            <v>Lokasi Pekerjaan</v>
          </cell>
        </row>
        <row r="82">
          <cell r="A82">
            <v>34</v>
          </cell>
          <cell r="C82" t="str">
            <v>T. Pancang Beton Pratekan dia.40 cm</v>
          </cell>
          <cell r="D82" t="str">
            <v>M50</v>
          </cell>
          <cell r="E82" t="str">
            <v>M'</v>
          </cell>
          <cell r="F82">
            <v>300000</v>
          </cell>
          <cell r="G82" t="str">
            <v>Lokasi Pekerjaan</v>
          </cell>
        </row>
        <row r="83">
          <cell r="A83">
            <v>35</v>
          </cell>
          <cell r="C83" t="str">
            <v>Asbuton</v>
          </cell>
          <cell r="D83" t="str">
            <v>M54</v>
          </cell>
          <cell r="E83" t="str">
            <v>Kg</v>
          </cell>
          <cell r="F83">
            <v>0</v>
          </cell>
        </row>
      </sheetData>
      <sheetData sheetId="7">
        <row r="25">
          <cell r="AM25">
            <v>82816.429999999993</v>
          </cell>
        </row>
      </sheetData>
      <sheetData sheetId="8">
        <row r="1">
          <cell r="A1" t="str">
            <v>ITEM PEMBAYARAN NO.</v>
          </cell>
          <cell r="D1" t="str">
            <v>:  2.1</v>
          </cell>
          <cell r="J1" t="str">
            <v>Analisa EI-21</v>
          </cell>
        </row>
        <row r="2">
          <cell r="A2" t="str">
            <v>JENIS PEKERJAAN</v>
          </cell>
          <cell r="D2" t="str">
            <v>:  Pek. Galian Untuk Saluran</v>
          </cell>
        </row>
        <row r="3">
          <cell r="A3" t="str">
            <v>SATUAN PEMBAYARAN</v>
          </cell>
          <cell r="D3" t="str">
            <v>:  M3</v>
          </cell>
          <cell r="J3" t="str">
            <v>URAIAN ANALISA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9">
          <cell r="A9" t="str">
            <v>I.</v>
          </cell>
          <cell r="C9" t="str">
            <v>ASUMSI</v>
          </cell>
        </row>
        <row r="10">
          <cell r="A10">
            <v>1</v>
          </cell>
          <cell r="C10" t="str">
            <v>Menggunakan alat berat (cara mekanik)</v>
          </cell>
        </row>
        <row r="11">
          <cell r="A11">
            <v>2</v>
          </cell>
          <cell r="C11" t="str">
            <v>Lokasi pekerjaan :  Sekitar Jembatan</v>
          </cell>
        </row>
        <row r="12">
          <cell r="A12">
            <v>3</v>
          </cell>
          <cell r="C12" t="str">
            <v>Kondisi Jalan   :  sedang / baik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</row>
        <row r="16">
          <cell r="A16" t="str">
            <v>II.</v>
          </cell>
          <cell r="C16" t="str">
            <v>URUTAN  KERJA</v>
          </cell>
        </row>
        <row r="17">
          <cell r="A17">
            <v>1</v>
          </cell>
          <cell r="C17" t="str">
            <v>Penggalian dilakukan dengan menggunakan Excavator</v>
          </cell>
        </row>
        <row r="18">
          <cell r="A18">
            <v>2</v>
          </cell>
          <cell r="C18" t="str">
            <v>Selanjutnya Excavator menuangkan material hasil</v>
          </cell>
        </row>
        <row r="19">
          <cell r="C19" t="str">
            <v>galian kedalam Dump Truck</v>
          </cell>
        </row>
        <row r="20">
          <cell r="A20">
            <v>3</v>
          </cell>
          <cell r="C20" t="str">
            <v>Dump Truck membuang material hasil galian keluar</v>
          </cell>
        </row>
        <row r="21">
          <cell r="C21" t="str">
            <v>lokasi jalan sejauh</v>
          </cell>
          <cell r="G21" t="str">
            <v>L</v>
          </cell>
          <cell r="H21">
            <v>1</v>
          </cell>
          <cell r="I21" t="str">
            <v>Km</v>
          </cell>
        </row>
        <row r="22">
          <cell r="A22">
            <v>4</v>
          </cell>
          <cell r="C22" t="str">
            <v>Sekelompok pekerja akan merapikan hasil galian</v>
          </cell>
        </row>
        <row r="24">
          <cell r="A24" t="str">
            <v>III.</v>
          </cell>
          <cell r="C24" t="str">
            <v>PEMAKAIAN BAHAN, ALAT DAN TENAGA</v>
          </cell>
        </row>
        <row r="26">
          <cell r="A26" t="str">
            <v>1.</v>
          </cell>
          <cell r="C26" t="str">
            <v>BAHAN</v>
          </cell>
        </row>
        <row r="27">
          <cell r="C27" t="str">
            <v>Tidak ada bahan yang diperlukan</v>
          </cell>
        </row>
        <row r="29">
          <cell r="A29" t="str">
            <v>2.</v>
          </cell>
          <cell r="C29" t="str">
            <v>ALAT</v>
          </cell>
        </row>
        <row r="30">
          <cell r="A30" t="str">
            <v>2.a.</v>
          </cell>
          <cell r="C30" t="str">
            <v>EXCAVATOR</v>
          </cell>
          <cell r="G30" t="str">
            <v>(E10)</v>
          </cell>
        </row>
        <row r="31">
          <cell r="C31" t="str">
            <v>Kapasitas Bucket</v>
          </cell>
          <cell r="G31" t="str">
            <v>V</v>
          </cell>
          <cell r="H31">
            <v>0.5</v>
          </cell>
          <cell r="I31" t="str">
            <v>M3</v>
          </cell>
        </row>
        <row r="32">
          <cell r="C32" t="str">
            <v>Faktor Bucket</v>
          </cell>
          <cell r="G32" t="str">
            <v>Fb</v>
          </cell>
          <cell r="H32">
            <v>0.9</v>
          </cell>
          <cell r="I32" t="str">
            <v>-</v>
          </cell>
        </row>
        <row r="33">
          <cell r="C33" t="str">
            <v>Faktor  Efisiensi alat</v>
          </cell>
          <cell r="G33" t="str">
            <v>Fa</v>
          </cell>
          <cell r="H33">
            <v>0.83</v>
          </cell>
          <cell r="I33" t="str">
            <v>-</v>
          </cell>
        </row>
        <row r="35">
          <cell r="C35" t="str">
            <v>Waktu siklus</v>
          </cell>
          <cell r="G35" t="str">
            <v>Ts1</v>
          </cell>
          <cell r="I35" t="str">
            <v>menit</v>
          </cell>
        </row>
        <row r="36">
          <cell r="C36" t="str">
            <v>- Menggali / memuat</v>
          </cell>
          <cell r="G36" t="str">
            <v>T1</v>
          </cell>
          <cell r="H36">
            <v>0.35</v>
          </cell>
          <cell r="I36" t="str">
            <v>menit</v>
          </cell>
        </row>
        <row r="37">
          <cell r="C37" t="str">
            <v>- Lain-lain</v>
          </cell>
          <cell r="G37" t="str">
            <v>T2</v>
          </cell>
          <cell r="H37">
            <v>0.3</v>
          </cell>
          <cell r="I37" t="str">
            <v>menit</v>
          </cell>
        </row>
        <row r="38">
          <cell r="G38" t="str">
            <v>Ts1</v>
          </cell>
          <cell r="H38">
            <v>0.64999999999999991</v>
          </cell>
          <cell r="I38" t="str">
            <v>menit</v>
          </cell>
        </row>
        <row r="40">
          <cell r="C40" t="str">
            <v>Kap. Prod. / jam =</v>
          </cell>
          <cell r="D40" t="str">
            <v>V  x Fb x Fa x 60</v>
          </cell>
          <cell r="G40" t="str">
            <v>Q1</v>
          </cell>
          <cell r="H40">
            <v>28.730799999999999</v>
          </cell>
          <cell r="I40" t="str">
            <v>M3  / jam</v>
          </cell>
        </row>
        <row r="41">
          <cell r="D41" t="str">
            <v>Ts1 x Fh</v>
          </cell>
        </row>
        <row r="43">
          <cell r="C43" t="str">
            <v>Koefisien Alat / M3</v>
          </cell>
          <cell r="D43" t="str">
            <v>=  1  :  Q1</v>
          </cell>
          <cell r="G43" t="str">
            <v>-</v>
          </cell>
          <cell r="H43">
            <v>3.4799999999999998E-2</v>
          </cell>
          <cell r="I43" t="str">
            <v>Jam</v>
          </cell>
        </row>
        <row r="45">
          <cell r="A45" t="str">
            <v>2.b.</v>
          </cell>
          <cell r="C45" t="str">
            <v>DUMP TRUCK</v>
          </cell>
          <cell r="G45" t="str">
            <v>(E08)</v>
          </cell>
        </row>
        <row r="46">
          <cell r="C46" t="str">
            <v>Kaasitas bak</v>
          </cell>
          <cell r="G46" t="str">
            <v>V</v>
          </cell>
          <cell r="H46">
            <v>4</v>
          </cell>
          <cell r="I46" t="str">
            <v>M3</v>
          </cell>
        </row>
        <row r="47">
          <cell r="C47" t="str">
            <v>Faktor  efisiensi alat</v>
          </cell>
          <cell r="G47" t="str">
            <v>Fa</v>
          </cell>
          <cell r="H47">
            <v>0.83</v>
          </cell>
          <cell r="I47" t="str">
            <v>-</v>
          </cell>
        </row>
        <row r="48">
          <cell r="C48" t="str">
            <v>Kecepatan rata-rata bermuatan</v>
          </cell>
          <cell r="G48" t="str">
            <v>v1</v>
          </cell>
          <cell r="H48">
            <v>40</v>
          </cell>
          <cell r="I48" t="str">
            <v>Km/Jam</v>
          </cell>
        </row>
        <row r="49">
          <cell r="C49" t="str">
            <v>Kecepatan rata-rata kosong</v>
          </cell>
          <cell r="G49" t="str">
            <v>v2</v>
          </cell>
          <cell r="H49">
            <v>60</v>
          </cell>
          <cell r="I49" t="str">
            <v>Km/Jam</v>
          </cell>
        </row>
        <row r="50">
          <cell r="C50" t="str">
            <v>Waktu  siklus  :</v>
          </cell>
          <cell r="G50" t="str">
            <v>Ts2</v>
          </cell>
        </row>
        <row r="51">
          <cell r="C51" t="str">
            <v>- Waktu tempuh isi</v>
          </cell>
          <cell r="E51" t="str">
            <v>=   (L  :  v1)  x  60</v>
          </cell>
          <cell r="G51" t="str">
            <v>T1</v>
          </cell>
          <cell r="H51">
            <v>1.5</v>
          </cell>
          <cell r="I51" t="str">
            <v>menit</v>
          </cell>
        </row>
        <row r="52">
          <cell r="C52" t="str">
            <v>- Waktu tempuh kosong</v>
          </cell>
          <cell r="E52" t="str">
            <v>=   (L  :  v2)  x  60</v>
          </cell>
          <cell r="G52" t="str">
            <v>T2</v>
          </cell>
          <cell r="H52">
            <v>1</v>
          </cell>
          <cell r="I52" t="str">
            <v>menit</v>
          </cell>
        </row>
        <row r="53">
          <cell r="C53" t="str">
            <v>- Muat</v>
          </cell>
          <cell r="E53" t="str">
            <v>=   (V  :  Q1) x 60</v>
          </cell>
          <cell r="G53" t="str">
            <v>T3</v>
          </cell>
          <cell r="H53">
            <v>8.3534000000000006</v>
          </cell>
          <cell r="I53" t="str">
            <v>menit</v>
          </cell>
        </row>
        <row r="54">
          <cell r="C54" t="str">
            <v>- Lain-lain</v>
          </cell>
          <cell r="G54" t="str">
            <v>T4</v>
          </cell>
          <cell r="H54">
            <v>0.5</v>
          </cell>
          <cell r="I54" t="str">
            <v>menit</v>
          </cell>
        </row>
        <row r="55">
          <cell r="G55" t="str">
            <v>Ts2</v>
          </cell>
          <cell r="H55">
            <v>11.353400000000001</v>
          </cell>
          <cell r="I55" t="str">
            <v>menit</v>
          </cell>
        </row>
        <row r="56">
          <cell r="J56" t="str">
            <v>Berlanjut ke halaman berikut</v>
          </cell>
        </row>
        <row r="57">
          <cell r="A57" t="str">
            <v>ITEM PEMBAYARAN NO.</v>
          </cell>
          <cell r="D57" t="str">
            <v>:  2.1</v>
          </cell>
          <cell r="J57" t="str">
            <v>Analisa EI-21</v>
          </cell>
        </row>
        <row r="58">
          <cell r="A58" t="str">
            <v>JENIS PEKERJAAN</v>
          </cell>
          <cell r="D58" t="str">
            <v>:  Pek. Galian Untuk Saluran</v>
          </cell>
        </row>
        <row r="59">
          <cell r="A59" t="str">
            <v>SATUAN PEMBAYARAN</v>
          </cell>
          <cell r="D59" t="str">
            <v>:  M3</v>
          </cell>
          <cell r="J59" t="str">
            <v>URAIAN ANALISA HARGA SATUAN</v>
          </cell>
        </row>
        <row r="60">
          <cell r="J60" t="str">
            <v>Lanjutan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</row>
        <row r="65">
          <cell r="C65" t="str">
            <v>Kapasitas Produksi / Jam   =</v>
          </cell>
          <cell r="E65" t="str">
            <v>V x Fa x 60</v>
          </cell>
          <cell r="G65" t="str">
            <v>Q2</v>
          </cell>
          <cell r="H65">
            <v>14.6212</v>
          </cell>
          <cell r="I65" t="str">
            <v>M3 / Jam</v>
          </cell>
        </row>
        <row r="66">
          <cell r="E66" t="str">
            <v>Fk x Ts2</v>
          </cell>
        </row>
        <row r="69">
          <cell r="C69" t="str">
            <v>Koefisien Alat / M3</v>
          </cell>
          <cell r="D69" t="str">
            <v>=  1  :  Q2</v>
          </cell>
          <cell r="G69" t="str">
            <v>-</v>
          </cell>
          <cell r="H69">
            <v>6.8400000000000002E-2</v>
          </cell>
          <cell r="I69" t="str">
            <v>Jam</v>
          </cell>
        </row>
        <row r="72">
          <cell r="A72" t="str">
            <v>2.d.</v>
          </cell>
          <cell r="C72" t="str">
            <v>ALAT  BANTU</v>
          </cell>
        </row>
        <row r="73">
          <cell r="C73" t="str">
            <v>Diperlukan alat-alat bantu kecil</v>
          </cell>
          <cell r="J73" t="str">
            <v>Lump Sump</v>
          </cell>
        </row>
        <row r="74">
          <cell r="C74" t="str">
            <v>- Sekop</v>
          </cell>
        </row>
        <row r="75">
          <cell r="C75" t="str">
            <v>- Keranjang + Sapu</v>
          </cell>
        </row>
        <row r="77">
          <cell r="A77" t="str">
            <v>3.</v>
          </cell>
          <cell r="C77" t="str">
            <v>TENAGA</v>
          </cell>
        </row>
        <row r="78">
          <cell r="C78" t="str">
            <v>Produksi menentukan : EXCAVATOR</v>
          </cell>
          <cell r="G78" t="str">
            <v>Q1</v>
          </cell>
          <cell r="H78">
            <v>28.730799999999999</v>
          </cell>
          <cell r="I78" t="str">
            <v>M3/Jam</v>
          </cell>
        </row>
        <row r="79">
          <cell r="C79" t="str">
            <v>Produksi Galian / hari  =  Tk x Q1</v>
          </cell>
          <cell r="G79" t="str">
            <v>Qt</v>
          </cell>
          <cell r="H79">
            <v>201.1156</v>
          </cell>
          <cell r="I79" t="str">
            <v>M3</v>
          </cell>
        </row>
        <row r="80">
          <cell r="C80" t="str">
            <v>Kebutuhan tenaga :</v>
          </cell>
        </row>
        <row r="81">
          <cell r="D81" t="str">
            <v>- Pekerja</v>
          </cell>
          <cell r="G81" t="str">
            <v>P</v>
          </cell>
          <cell r="H81">
            <v>4</v>
          </cell>
          <cell r="I81" t="str">
            <v>orang</v>
          </cell>
        </row>
        <row r="82">
          <cell r="D82" t="str">
            <v>- Mandor</v>
          </cell>
          <cell r="G82" t="str">
            <v>M</v>
          </cell>
          <cell r="H82">
            <v>1</v>
          </cell>
          <cell r="I82" t="str">
            <v>orang</v>
          </cell>
        </row>
        <row r="84">
          <cell r="C84" t="str">
            <v>Koefisien tenaga / M3   :</v>
          </cell>
        </row>
        <row r="85">
          <cell r="D85" t="str">
            <v>- Pekerja</v>
          </cell>
          <cell r="E85" t="str">
            <v>= (Tk x P) : Qt</v>
          </cell>
          <cell r="G85" t="str">
            <v>(L01)</v>
          </cell>
          <cell r="H85">
            <v>0.13919999999999999</v>
          </cell>
          <cell r="I85" t="str">
            <v>Jam</v>
          </cell>
        </row>
        <row r="86"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8">
          <cell r="A88" t="str">
            <v>4.</v>
          </cell>
          <cell r="C88" t="str">
            <v>HARGA DASAR SATUAN UPAH, BAHAN DAN ALAT</v>
          </cell>
        </row>
        <row r="89">
          <cell r="C89" t="str">
            <v>Lihat lampiran.</v>
          </cell>
        </row>
        <row r="91">
          <cell r="A91" t="str">
            <v>5.</v>
          </cell>
          <cell r="C91" t="str">
            <v>ANALISA HARGA SATUAN PEKERJAAN</v>
          </cell>
        </row>
        <row r="92">
          <cell r="C92" t="str">
            <v>Lihat perhitungan dalam FORMULIR STANDAR UNTUK</v>
          </cell>
        </row>
        <row r="93">
          <cell r="C93" t="str">
            <v>PEREKEMAN ANALISA MASING-MASING HARGA</v>
          </cell>
        </row>
        <row r="94">
          <cell r="C94" t="str">
            <v>SATUAN.</v>
          </cell>
        </row>
        <row r="95">
          <cell r="C95" t="str">
            <v>Didapat Harga Satuan Pekerjaan :</v>
          </cell>
        </row>
        <row r="97">
          <cell r="C97" t="str">
            <v>Rp.</v>
          </cell>
          <cell r="D97">
            <v>17144.61</v>
          </cell>
          <cell r="E97" t="str">
            <v>/ M3</v>
          </cell>
        </row>
        <row r="115">
          <cell r="A115" t="str">
            <v>ITEM PEMBAYARAN NO.</v>
          </cell>
          <cell r="D115" t="str">
            <v>:  2.2</v>
          </cell>
          <cell r="J115" t="str">
            <v>Analisa LI-22</v>
          </cell>
        </row>
        <row r="116">
          <cell r="A116" t="str">
            <v>JENIS PEKERJAAN</v>
          </cell>
          <cell r="D116" t="str">
            <v>:  Pasangan Batu Dengan Mortar</v>
          </cell>
        </row>
        <row r="117">
          <cell r="A117" t="str">
            <v>SATUAN PEMBAYARAN</v>
          </cell>
          <cell r="D117" t="str">
            <v>:  M3</v>
          </cell>
          <cell r="J117" t="str">
            <v>URAIAN ANALISA HARGA SATUAN</v>
          </cell>
        </row>
        <row r="120">
          <cell r="A120" t="str">
            <v>No.</v>
          </cell>
          <cell r="C120" t="str">
            <v>U R A I A N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3">
          <cell r="A123" t="str">
            <v>I.</v>
          </cell>
          <cell r="C123" t="str">
            <v>ASUMSI</v>
          </cell>
        </row>
        <row r="124">
          <cell r="A124">
            <v>1</v>
          </cell>
          <cell r="C124" t="str">
            <v>Menggunakan buruh (cara manual)</v>
          </cell>
        </row>
        <row r="125">
          <cell r="A125">
            <v>2</v>
          </cell>
          <cell r="C125" t="str">
            <v>Lokasi pekerjaan :  Sekitar Jembatan</v>
          </cell>
        </row>
        <row r="126">
          <cell r="A126">
            <v>3</v>
          </cell>
          <cell r="C126" t="str">
            <v>Bahan dasar (batu, pasir dan semen) diterima dilokasi pekerjaan</v>
          </cell>
        </row>
        <row r="127">
          <cell r="A127">
            <v>4</v>
          </cell>
          <cell r="C127" t="str">
            <v>Jarak rata-rata Base camp ke lokasi pekerjaan</v>
          </cell>
          <cell r="G127" t="str">
            <v>L</v>
          </cell>
          <cell r="H127">
            <v>1</v>
          </cell>
          <cell r="I127" t="str">
            <v>KM</v>
          </cell>
        </row>
        <row r="128">
          <cell r="A128">
            <v>5</v>
          </cell>
          <cell r="C128" t="str">
            <v>Jam kerja efektif per-hari</v>
          </cell>
          <cell r="G128" t="str">
            <v>Tk</v>
          </cell>
          <cell r="H128">
            <v>7</v>
          </cell>
          <cell r="I128" t="str">
            <v>jam</v>
          </cell>
        </row>
        <row r="129">
          <cell r="A129">
            <v>6</v>
          </cell>
          <cell r="C129" t="str">
            <v>Perbandingan Pasir &amp; Semen</v>
          </cell>
          <cell r="E129" t="str">
            <v>: - Volume Semen</v>
          </cell>
          <cell r="G129" t="str">
            <v>Sm</v>
          </cell>
          <cell r="H129">
            <v>25</v>
          </cell>
          <cell r="I129" t="str">
            <v>%</v>
          </cell>
        </row>
        <row r="130">
          <cell r="E130" t="str">
            <v>: - Volume Pasir</v>
          </cell>
          <cell r="G130" t="str">
            <v>Ps</v>
          </cell>
          <cell r="H130">
            <v>75</v>
          </cell>
          <cell r="I130" t="str">
            <v>%</v>
          </cell>
        </row>
        <row r="131">
          <cell r="A131">
            <v>7</v>
          </cell>
          <cell r="C131" t="str">
            <v>Perbandingan Batu &amp; Mortar  :</v>
          </cell>
        </row>
        <row r="132">
          <cell r="C132" t="str">
            <v>- Batu</v>
          </cell>
          <cell r="G132" t="str">
            <v>Bt</v>
          </cell>
          <cell r="H132">
            <v>60</v>
          </cell>
          <cell r="I132" t="str">
            <v>%</v>
          </cell>
        </row>
        <row r="133">
          <cell r="C133" t="str">
            <v>- Mortar (campuran semen &amp; pasir)</v>
          </cell>
          <cell r="G133" t="str">
            <v>Mr</v>
          </cell>
          <cell r="H133">
            <v>40</v>
          </cell>
          <cell r="I133" t="str">
            <v>%</v>
          </cell>
        </row>
        <row r="134">
          <cell r="A134">
            <v>8</v>
          </cell>
          <cell r="C134" t="str">
            <v>Berat Jenis Bahan  :</v>
          </cell>
        </row>
        <row r="135">
          <cell r="C135" t="str">
            <v>- Pasangan Batu Dengan Mortar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C136" t="str">
            <v>- Batu</v>
          </cell>
          <cell r="G136" t="str">
            <v>D2</v>
          </cell>
          <cell r="H136">
            <v>1.6</v>
          </cell>
          <cell r="I136" t="str">
            <v>ton/M3</v>
          </cell>
        </row>
        <row r="137">
          <cell r="C137" t="str">
            <v>- Adukan (mortar)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C138" t="str">
            <v>- Pasir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C139" t="str">
            <v>- Semen Portland</v>
          </cell>
          <cell r="G139" t="str">
            <v>D5</v>
          </cell>
          <cell r="H139">
            <v>1.44</v>
          </cell>
          <cell r="I139" t="str">
            <v>ton/M3</v>
          </cell>
        </row>
        <row r="140">
          <cell r="A140">
            <v>9</v>
          </cell>
          <cell r="C140" t="str">
            <v>Faktor kehilangan bahan   :</v>
          </cell>
          <cell r="E140" t="str">
            <v>- Batu</v>
          </cell>
          <cell r="G140" t="str">
            <v>Fh1</v>
          </cell>
          <cell r="H140">
            <v>1.2</v>
          </cell>
          <cell r="I140" t="str">
            <v>-</v>
          </cell>
        </row>
        <row r="141">
          <cell r="E141" t="str">
            <v>- Pasir / Semen</v>
          </cell>
          <cell r="G141" t="str">
            <v>Fh2</v>
          </cell>
          <cell r="H141">
            <v>1.05</v>
          </cell>
          <cell r="I141" t="str">
            <v>-</v>
          </cell>
        </row>
        <row r="142">
          <cell r="A142" t="str">
            <v>II.</v>
          </cell>
          <cell r="C142" t="str">
            <v>URUTAN KERJA</v>
          </cell>
        </row>
        <row r="143">
          <cell r="A143">
            <v>1</v>
          </cell>
          <cell r="C143" t="str">
            <v>Semen, pasir dan air dicampur dan diaduk menjadi</v>
          </cell>
        </row>
        <row r="144">
          <cell r="C144" t="str">
            <v>mortar dengan menggunakan alat bantu</v>
          </cell>
        </row>
        <row r="145">
          <cell r="A145">
            <v>2</v>
          </cell>
          <cell r="C145" t="str">
            <v>Batu dibersihkan dan dibasahi seluruh permukaannya -</v>
          </cell>
        </row>
        <row r="146">
          <cell r="C146" t="str">
            <v>sebelum dipasang.</v>
          </cell>
        </row>
        <row r="147">
          <cell r="A147">
            <v>3</v>
          </cell>
          <cell r="C147" t="str">
            <v>Penyelesaian dan perapihan setelah pemasangan</v>
          </cell>
        </row>
        <row r="148">
          <cell r="A148" t="str">
            <v>III.</v>
          </cell>
          <cell r="C148" t="str">
            <v>PEMAKAIAN BAHAN, ALAT DAN TENAGA</v>
          </cell>
        </row>
        <row r="150">
          <cell r="A150" t="str">
            <v>1.</v>
          </cell>
          <cell r="C150" t="str">
            <v>BAHAN</v>
          </cell>
        </row>
        <row r="151">
          <cell r="A151" t="str">
            <v>1.a.</v>
          </cell>
          <cell r="C151" t="str">
            <v>Batu     -----&gt;</v>
          </cell>
          <cell r="D151" t="str">
            <v>{(Bt x D1 x 1 M3) : D2} x Fh1</v>
          </cell>
          <cell r="G151" t="str">
            <v>(M06)</v>
          </cell>
          <cell r="H151">
            <v>1.08</v>
          </cell>
          <cell r="I151" t="str">
            <v>M3</v>
          </cell>
        </row>
        <row r="152">
          <cell r="A152" t="str">
            <v>1.b.</v>
          </cell>
          <cell r="C152" t="str">
            <v>Semen    ----&gt;</v>
          </cell>
          <cell r="D152" t="str">
            <v>Sm x {(Mr x D1 x 1 M3} : D3} x Fh2</v>
          </cell>
          <cell r="G152" t="str">
            <v>(M12)</v>
          </cell>
          <cell r="H152">
            <v>0.14000000000000001</v>
          </cell>
          <cell r="I152" t="str">
            <v>M3</v>
          </cell>
        </row>
        <row r="153">
          <cell r="D153" t="str">
            <v>x {D5 x (1000)}</v>
          </cell>
          <cell r="G153" t="str">
            <v>(M12)</v>
          </cell>
          <cell r="H153">
            <v>201.6</v>
          </cell>
          <cell r="I153" t="str">
            <v>Kg</v>
          </cell>
        </row>
        <row r="154">
          <cell r="A154" t="str">
            <v>1.c.</v>
          </cell>
          <cell r="C154" t="str">
            <v>Pasir    -----&gt;</v>
          </cell>
          <cell r="D154" t="str">
            <v>Ps x {(Mr x D1 x 1 M3) : D4} x Fh2</v>
          </cell>
          <cell r="G154" t="str">
            <v>(M01)</v>
          </cell>
          <cell r="H154">
            <v>0.45269999999999999</v>
          </cell>
          <cell r="I154" t="str">
            <v>M3</v>
          </cell>
        </row>
        <row r="156">
          <cell r="A156" t="str">
            <v>2.</v>
          </cell>
          <cell r="C156" t="str">
            <v>ALAT</v>
          </cell>
        </row>
        <row r="157">
          <cell r="A157" t="str">
            <v>2.a.</v>
          </cell>
          <cell r="C157" t="str">
            <v>ALAT BANTU</v>
          </cell>
        </row>
        <row r="158">
          <cell r="C158" t="str">
            <v>Diperlukan  :</v>
          </cell>
        </row>
        <row r="159">
          <cell r="C159" t="str">
            <v>- Sekop</v>
          </cell>
          <cell r="D159" t="str">
            <v>=  2  buah</v>
          </cell>
        </row>
        <row r="160">
          <cell r="C160" t="str">
            <v>- Pacul</v>
          </cell>
          <cell r="D160" t="str">
            <v>=  2  buah</v>
          </cell>
        </row>
        <row r="161">
          <cell r="C161" t="str">
            <v>- Sendok Semen</v>
          </cell>
          <cell r="D161" t="str">
            <v>=  2  buah</v>
          </cell>
        </row>
        <row r="162">
          <cell r="C162" t="str">
            <v>- Ember Cor</v>
          </cell>
          <cell r="D162" t="str">
            <v>=  4  buah</v>
          </cell>
        </row>
        <row r="163">
          <cell r="C163" t="str">
            <v>- Gerobak Dorong</v>
          </cell>
          <cell r="D163" t="str">
            <v>=  1  buah</v>
          </cell>
        </row>
        <row r="165">
          <cell r="A165" t="str">
            <v>3.</v>
          </cell>
          <cell r="C165" t="str">
            <v>TENAGA</v>
          </cell>
        </row>
        <row r="166">
          <cell r="C166" t="str">
            <v>Produksi Pasangan Batu dengan Mortar dalam 1 hari</v>
          </cell>
          <cell r="G166" t="str">
            <v>Qt</v>
          </cell>
          <cell r="H166">
            <v>4</v>
          </cell>
          <cell r="I166" t="str">
            <v>M3</v>
          </cell>
        </row>
        <row r="167">
          <cell r="C167" t="str">
            <v>Kebutuhan tenaga :</v>
          </cell>
          <cell r="D167" t="str">
            <v>- Mandor</v>
          </cell>
          <cell r="G167" t="str">
            <v>M</v>
          </cell>
          <cell r="H167">
            <v>1</v>
          </cell>
          <cell r="I167" t="str">
            <v>orang</v>
          </cell>
        </row>
        <row r="168">
          <cell r="D168" t="str">
            <v>- Tukang Batu</v>
          </cell>
          <cell r="G168" t="str">
            <v>Tb</v>
          </cell>
          <cell r="H168">
            <v>2</v>
          </cell>
          <cell r="I168" t="str">
            <v>orang</v>
          </cell>
        </row>
        <row r="169">
          <cell r="D169" t="str">
            <v>- Pekerja</v>
          </cell>
          <cell r="G169" t="str">
            <v>P</v>
          </cell>
          <cell r="H169">
            <v>10</v>
          </cell>
          <cell r="I169" t="str">
            <v>orang</v>
          </cell>
        </row>
        <row r="171">
          <cell r="J171" t="str">
            <v>Berlanjut ke halaman berikut</v>
          </cell>
        </row>
        <row r="172">
          <cell r="A172" t="str">
            <v>ITEM PEMBAYARAN NO.</v>
          </cell>
          <cell r="D172" t="str">
            <v>:  2.2</v>
          </cell>
          <cell r="J172" t="str">
            <v>Analisa LI-22</v>
          </cell>
        </row>
        <row r="173">
          <cell r="A173" t="str">
            <v>JENIS PEKERJAAN</v>
          </cell>
          <cell r="D173" t="str">
            <v>:  Pasangan Batu Dengan Mortar</v>
          </cell>
        </row>
        <row r="174">
          <cell r="A174" t="str">
            <v>SATUAN PEMBAYARAN</v>
          </cell>
          <cell r="D174" t="str">
            <v>:  M3</v>
          </cell>
          <cell r="J174" t="str">
            <v>URAIAN ANALISA HARGA SATUAN</v>
          </cell>
        </row>
        <row r="175">
          <cell r="J175" t="str">
            <v>Lanjutan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</row>
        <row r="181">
          <cell r="C181" t="str">
            <v>Koefisien Tenaga / M3   :</v>
          </cell>
        </row>
        <row r="182">
          <cell r="D182" t="str">
            <v>-  Mandor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D183" t="str">
            <v>-  Tukang</v>
          </cell>
          <cell r="E183" t="str">
            <v>= (Tk x Tb) : Qt</v>
          </cell>
          <cell r="G183" t="str">
            <v>(L02)</v>
          </cell>
          <cell r="H183">
            <v>3.5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</row>
        <row r="186">
          <cell r="A186" t="str">
            <v>4.</v>
          </cell>
          <cell r="C186" t="str">
            <v>HARGA DASAR SATUAN UPAH, BAHAN DAN ALAT</v>
          </cell>
        </row>
        <row r="187">
          <cell r="C187" t="str">
            <v>Lihat lampiran.</v>
          </cell>
        </row>
        <row r="189">
          <cell r="A189" t="str">
            <v>5.</v>
          </cell>
          <cell r="C189" t="str">
            <v>ANALISA HARGA SATUAN PEKERJAAN</v>
          </cell>
        </row>
        <row r="190">
          <cell r="C190" t="str">
            <v>Lihat perhitungan dalam FORMULIR STANDAR UNTUK</v>
          </cell>
        </row>
        <row r="191">
          <cell r="C191" t="str">
            <v>PEREKEMAN ANALISA MASING-MASING HARGA</v>
          </cell>
        </row>
        <row r="192">
          <cell r="C192" t="str">
            <v>SATUAN.</v>
          </cell>
        </row>
        <row r="193">
          <cell r="C193" t="str">
            <v>Didapat Harga Satuan Pekerjaan :</v>
          </cell>
        </row>
        <row r="195">
          <cell r="C195" t="str">
            <v>Rp.</v>
          </cell>
          <cell r="D195">
            <v>291840.97000000003</v>
          </cell>
          <cell r="E195" t="str">
            <v>/ M3</v>
          </cell>
        </row>
      </sheetData>
      <sheetData sheetId="9">
        <row r="272">
          <cell r="L272">
            <v>2</v>
          </cell>
          <cell r="N272" t="str">
            <v>Kuantitas satuan adalah kuantitas setiap komponen untuk menyelesaikan satu satuan pekerjaan dari nomor mata pembayaran</v>
          </cell>
        </row>
        <row r="273">
          <cell r="L273">
            <v>3</v>
          </cell>
          <cell r="N273" t="str">
            <v>Biaya satuan untuk peralatan sudah termasuk bahan bakar, bahan habis dipakai dan operator.</v>
          </cell>
        </row>
        <row r="274">
          <cell r="L274">
            <v>4</v>
          </cell>
          <cell r="N274" t="str">
            <v>Biaya satuan sudah termasuk pengeluaran untuk seluruh pajak yang berkaitan (tetapi tidak termasuk PPN yang dibayar dari kontrak )</v>
          </cell>
        </row>
        <row r="275">
          <cell r="N275" t="str">
            <v>dan biaya-biaya lainnya.</v>
          </cell>
        </row>
      </sheetData>
      <sheetData sheetId="10"/>
      <sheetData sheetId="11">
        <row r="115">
          <cell r="T115" t="str">
            <v>Analisa EI-634</v>
          </cell>
        </row>
        <row r="117">
          <cell r="L117" t="str">
            <v>FORMULIR STANDAR UNTUK</v>
          </cell>
        </row>
        <row r="118">
          <cell r="L118" t="str">
            <v>PEREKAMAN ANALISA MASING-MASING HARGA SATUAN</v>
          </cell>
        </row>
        <row r="120">
          <cell r="L120" t="str">
            <v>PROYEK</v>
          </cell>
          <cell r="O120" t="str">
            <v>:  Peningkatan Jalan dan Jembatan Wilayah Barat</v>
          </cell>
        </row>
        <row r="121">
          <cell r="L121" t="str">
            <v>No. PAKET KONTRAK</v>
          </cell>
          <cell r="O121" t="str">
            <v>:</v>
          </cell>
        </row>
        <row r="122">
          <cell r="L122" t="str">
            <v>PEKERJAAN</v>
          </cell>
          <cell r="O122" t="str">
            <v>:  Pembangunan Jembatan Beton Tersebar di Wilayah Barat</v>
          </cell>
        </row>
        <row r="123">
          <cell r="L123" t="str">
            <v>KABUPATEN</v>
          </cell>
          <cell r="O123" t="str">
            <v>:  Lampung Timur</v>
          </cell>
        </row>
        <row r="124">
          <cell r="L124" t="str">
            <v>ITEM PEMBAYARAN NO.</v>
          </cell>
          <cell r="O124" t="str">
            <v>:  6.3 (4)</v>
          </cell>
        </row>
        <row r="125">
          <cell r="L125" t="str">
            <v>JENIS PEKERJAAN</v>
          </cell>
          <cell r="O125" t="str">
            <v>:  Asphalt Treated Base (ATB)</v>
          </cell>
        </row>
        <row r="126">
          <cell r="L126" t="str">
            <v>SATUAN PEMBAYARAN</v>
          </cell>
          <cell r="O126" t="str">
            <v>:  M3</v>
          </cell>
        </row>
        <row r="129">
          <cell r="Q129" t="str">
            <v>PERKIRAAN</v>
          </cell>
          <cell r="R129" t="str">
            <v>HARGA</v>
          </cell>
          <cell r="S129" t="str">
            <v>JUMLAH</v>
          </cell>
        </row>
        <row r="130">
          <cell r="L130" t="str">
            <v>NO.</v>
          </cell>
          <cell r="N130" t="str">
            <v>KOMPONEN</v>
          </cell>
          <cell r="P130" t="str">
            <v>SATUAN</v>
          </cell>
          <cell r="Q130" t="str">
            <v>KUANTITAS</v>
          </cell>
          <cell r="R130" t="str">
            <v>SATUAN</v>
          </cell>
          <cell r="S130" t="str">
            <v>HARGA</v>
          </cell>
        </row>
        <row r="131">
          <cell r="R131" t="str">
            <v>(Rp.)</v>
          </cell>
          <cell r="S131" t="str">
            <v>(Rp.)</v>
          </cell>
        </row>
        <row r="134">
          <cell r="L134" t="str">
            <v>A.</v>
          </cell>
          <cell r="N134" t="str">
            <v>TENAGA</v>
          </cell>
        </row>
        <row r="136">
          <cell r="L136" t="str">
            <v>1.</v>
          </cell>
          <cell r="N136" t="str">
            <v>Pekerja</v>
          </cell>
          <cell r="O136" t="str">
            <v>(L01)</v>
          </cell>
          <cell r="P136" t="str">
            <v>Jam</v>
          </cell>
          <cell r="Q136">
            <v>0.64659999999999995</v>
          </cell>
          <cell r="R136">
            <v>2500</v>
          </cell>
          <cell r="U136">
            <v>1616.5</v>
          </cell>
        </row>
        <row r="137">
          <cell r="L137" t="str">
            <v>2.</v>
          </cell>
          <cell r="N137" t="str">
            <v>Mandor</v>
          </cell>
          <cell r="O137" t="str">
            <v>(L03)</v>
          </cell>
          <cell r="P137" t="str">
            <v>Jam</v>
          </cell>
          <cell r="Q137">
            <v>9.2399999999999996E-2</v>
          </cell>
          <cell r="R137">
            <v>3571.43</v>
          </cell>
          <cell r="U137">
            <v>330</v>
          </cell>
        </row>
        <row r="140">
          <cell r="Q140" t="str">
            <v>JUMLAH HARGA TENAGA</v>
          </cell>
          <cell r="U140">
            <v>1946.5</v>
          </cell>
        </row>
        <row r="142">
          <cell r="L142" t="str">
            <v>B.</v>
          </cell>
          <cell r="N142" t="str">
            <v>BAHAN</v>
          </cell>
        </row>
        <row r="144">
          <cell r="L144" t="str">
            <v>1.</v>
          </cell>
          <cell r="N144" t="str">
            <v>Agregat Kasar</v>
          </cell>
          <cell r="O144" t="str">
            <v>(M03a)</v>
          </cell>
          <cell r="P144" t="str">
            <v>M3</v>
          </cell>
          <cell r="Q144">
            <v>0.77310000000000001</v>
          </cell>
          <cell r="R144">
            <v>120100</v>
          </cell>
          <cell r="U144">
            <v>92849.31</v>
          </cell>
        </row>
        <row r="145">
          <cell r="L145" t="str">
            <v>2.</v>
          </cell>
          <cell r="N145" t="str">
            <v>Agregat Halus</v>
          </cell>
          <cell r="O145" t="str">
            <v>(M04a)</v>
          </cell>
          <cell r="P145" t="str">
            <v>M3</v>
          </cell>
          <cell r="Q145">
            <v>0.47089999999999999</v>
          </cell>
          <cell r="R145">
            <v>115100</v>
          </cell>
          <cell r="U145">
            <v>54200.59</v>
          </cell>
        </row>
        <row r="146">
          <cell r="L146" t="str">
            <v>3</v>
          </cell>
          <cell r="N146" t="str">
            <v>Filler</v>
          </cell>
          <cell r="O146" t="str">
            <v>(M05)</v>
          </cell>
          <cell r="P146" t="str">
            <v>Kg</v>
          </cell>
          <cell r="Q146">
            <v>126.5</v>
          </cell>
          <cell r="R146">
            <v>100</v>
          </cell>
          <cell r="U146">
            <v>12650</v>
          </cell>
        </row>
        <row r="147">
          <cell r="L147" t="str">
            <v>4</v>
          </cell>
          <cell r="N147" t="str">
            <v>Aspal</v>
          </cell>
          <cell r="O147" t="str">
            <v>(M10)</v>
          </cell>
          <cell r="P147" t="str">
            <v>Kg</v>
          </cell>
          <cell r="Q147">
            <v>156.97499999999999</v>
          </cell>
          <cell r="R147">
            <v>3500</v>
          </cell>
          <cell r="U147">
            <v>549412.5</v>
          </cell>
        </row>
        <row r="150">
          <cell r="Q150" t="str">
            <v>JUMLAH HARGA BAHAN</v>
          </cell>
          <cell r="U150">
            <v>709112.4</v>
          </cell>
        </row>
        <row r="152">
          <cell r="L152" t="str">
            <v>C.</v>
          </cell>
          <cell r="N152" t="str">
            <v>PERALATAN</v>
          </cell>
        </row>
        <row r="153">
          <cell r="L153" t="str">
            <v>1.</v>
          </cell>
          <cell r="N153" t="str">
            <v>Wheel Loader</v>
          </cell>
          <cell r="O153" t="str">
            <v>(E15)</v>
          </cell>
          <cell r="P153" t="str">
            <v>Jam</v>
          </cell>
          <cell r="Q153">
            <v>3.7999999999999999E-2</v>
          </cell>
          <cell r="R153">
            <v>143049.93</v>
          </cell>
          <cell r="U153">
            <v>5435.9</v>
          </cell>
        </row>
        <row r="154">
          <cell r="L154" t="str">
            <v>2.</v>
          </cell>
          <cell r="N154" t="str">
            <v>AMP</v>
          </cell>
          <cell r="O154" t="str">
            <v>(E01)</v>
          </cell>
          <cell r="P154" t="str">
            <v>Jam</v>
          </cell>
          <cell r="Q154">
            <v>9.2399999999999996E-2</v>
          </cell>
          <cell r="R154">
            <v>839246.43</v>
          </cell>
          <cell r="U154">
            <v>77546.37</v>
          </cell>
        </row>
        <row r="155">
          <cell r="L155" t="str">
            <v>3.</v>
          </cell>
          <cell r="N155" t="str">
            <v>Genset</v>
          </cell>
          <cell r="O155" t="str">
            <v>(E12)</v>
          </cell>
          <cell r="P155" t="str">
            <v>Jam</v>
          </cell>
          <cell r="Q155">
            <v>9.2399999999999996E-2</v>
          </cell>
          <cell r="R155">
            <v>82443.12999999999</v>
          </cell>
          <cell r="U155">
            <v>7617.75</v>
          </cell>
        </row>
        <row r="156">
          <cell r="L156" t="str">
            <v>4.</v>
          </cell>
          <cell r="N156" t="str">
            <v>Dump Truck</v>
          </cell>
          <cell r="O156" t="str">
            <v>(E09)</v>
          </cell>
          <cell r="P156" t="str">
            <v>Jam</v>
          </cell>
          <cell r="Q156">
            <v>0.1946</v>
          </cell>
          <cell r="R156">
            <v>102654.43</v>
          </cell>
          <cell r="U156">
            <v>19976.55</v>
          </cell>
        </row>
        <row r="157">
          <cell r="L157" t="str">
            <v>5.</v>
          </cell>
          <cell r="N157" t="str">
            <v>Asphalt Finisher</v>
          </cell>
          <cell r="O157" t="str">
            <v>(E02)</v>
          </cell>
          <cell r="P157" t="str">
            <v>Jam</v>
          </cell>
          <cell r="Q157">
            <v>7.6700000000000004E-2</v>
          </cell>
          <cell r="R157">
            <v>173395.18</v>
          </cell>
          <cell r="U157">
            <v>13299.41</v>
          </cell>
        </row>
        <row r="158">
          <cell r="L158" t="str">
            <v>6.</v>
          </cell>
          <cell r="N158" t="str">
            <v>Tandem Roller</v>
          </cell>
          <cell r="O158" t="str">
            <v>(E17)</v>
          </cell>
          <cell r="P158" t="str">
            <v>Jam</v>
          </cell>
          <cell r="Q158">
            <v>4.5900000000000003E-2</v>
          </cell>
          <cell r="R158">
            <v>68242.429999999993</v>
          </cell>
          <cell r="U158">
            <v>3132.33</v>
          </cell>
        </row>
        <row r="159">
          <cell r="L159" t="str">
            <v>7</v>
          </cell>
          <cell r="N159" t="str">
            <v>P. Tyre Roller</v>
          </cell>
          <cell r="O159" t="str">
            <v>(E18)</v>
          </cell>
          <cell r="P159" t="str">
            <v>Jam</v>
          </cell>
          <cell r="Q159">
            <v>2.5700000000000001E-2</v>
          </cell>
          <cell r="R159">
            <v>82816.429999999993</v>
          </cell>
          <cell r="U159">
            <v>2128.38</v>
          </cell>
        </row>
        <row r="160">
          <cell r="L160" t="str">
            <v>8</v>
          </cell>
          <cell r="N160" t="str">
            <v>Alat Bantu</v>
          </cell>
          <cell r="P160" t="str">
            <v>Ls</v>
          </cell>
          <cell r="Q160">
            <v>1</v>
          </cell>
          <cell r="R160">
            <v>3500</v>
          </cell>
          <cell r="U160">
            <v>3500</v>
          </cell>
        </row>
        <row r="162">
          <cell r="Q162" t="str">
            <v>JUMLAH HARGA PERALATAN</v>
          </cell>
          <cell r="U162">
            <v>132636.69</v>
          </cell>
        </row>
        <row r="163">
          <cell r="L163" t="str">
            <v>D.</v>
          </cell>
          <cell r="N163" t="str">
            <v>JUMLAH HARGA TENAGA, BAHAN DAN PERALATAN  ( A + B + C )</v>
          </cell>
          <cell r="U163">
            <v>843695.59000000008</v>
          </cell>
        </row>
        <row r="164">
          <cell r="L164" t="str">
            <v>E.</v>
          </cell>
          <cell r="N164" t="str">
            <v>OVERHEAD &amp; PROFIT</v>
          </cell>
          <cell r="P164">
            <v>10</v>
          </cell>
          <cell r="Q164" t="str">
            <v>%  x  D</v>
          </cell>
          <cell r="U164">
            <v>84369.56</v>
          </cell>
        </row>
        <row r="165">
          <cell r="L165" t="str">
            <v>F.</v>
          </cell>
          <cell r="N165" t="str">
            <v>HARGA SATUAN PEKERJAAN  ( D + E )</v>
          </cell>
          <cell r="U165">
            <v>928065.15000000014</v>
          </cell>
        </row>
        <row r="167">
          <cell r="L167" t="str">
            <v>Note: 1</v>
          </cell>
          <cell r="N167" t="str">
            <v>SATUAN dapat berdasarkan atas jam operasi untuk Tenaga Kerja dan Peralatan, volume dan/atau ukuran berat untuk bahan-bahan</v>
          </cell>
        </row>
        <row r="168">
          <cell r="L168">
            <v>2</v>
          </cell>
          <cell r="N168" t="str">
            <v>Kuantitas satuan adalah kuantitas setiap komponen untuk menyelesaikan satu satuan pekerjaan dari nomor mata pembayaran</v>
          </cell>
        </row>
        <row r="169">
          <cell r="L169">
            <v>3</v>
          </cell>
          <cell r="N169" t="str">
            <v>Biaya satuan untuk peralatan sudah termasuk bahan bakar, bahan habis dipakai dan operator.</v>
          </cell>
        </row>
        <row r="170">
          <cell r="L170">
            <v>4</v>
          </cell>
          <cell r="N170" t="str">
            <v>Biaya satuan sudah termasuk pengeluaran untuk seluruh pajak yang berkaitan (tetapi tidak termasuk PPN yang dibayar dari kontrak )</v>
          </cell>
        </row>
        <row r="171">
          <cell r="N171" t="str">
            <v>dan biaya-biaya lainnya.</v>
          </cell>
        </row>
        <row r="172">
          <cell r="T172" t="str">
            <v>Analisa EI-661</v>
          </cell>
        </row>
        <row r="174">
          <cell r="L174" t="str">
            <v>FORMULIR STANDAR UNTUK</v>
          </cell>
        </row>
        <row r="175">
          <cell r="L175" t="str">
            <v>PEREKAMAN ANALISA MASING-MASING HARGA SATUAN</v>
          </cell>
        </row>
        <row r="177">
          <cell r="L177" t="str">
            <v>PROYEK</v>
          </cell>
          <cell r="O177" t="str">
            <v>:  Peningkatan Jalan dan Jembatan Wilayah Barat</v>
          </cell>
        </row>
        <row r="178">
          <cell r="L178" t="str">
            <v>No. PAKET KONTRAK</v>
          </cell>
          <cell r="O178" t="str">
            <v>:</v>
          </cell>
        </row>
        <row r="179">
          <cell r="L179" t="str">
            <v>NAMA PAKET</v>
          </cell>
          <cell r="O179" t="str">
            <v>:  Pembangunan Jembatan Beton Tersebar di Wilayah Barat</v>
          </cell>
        </row>
        <row r="180">
          <cell r="L180" t="str">
            <v>PROP / KAB / KODYA</v>
          </cell>
          <cell r="O180" t="str">
            <v>:  Lampung Timur</v>
          </cell>
        </row>
        <row r="181">
          <cell r="L181" t="str">
            <v>ITEM PEMBAYARAN NO.</v>
          </cell>
          <cell r="O181" t="str">
            <v>:  6.6.1</v>
          </cell>
        </row>
        <row r="182">
          <cell r="L182" t="str">
            <v>JENIS PEKERJAAN</v>
          </cell>
          <cell r="O182" t="str">
            <v>:  Lapis Pen. Macadam Permukaan</v>
          </cell>
        </row>
        <row r="183">
          <cell r="L183" t="str">
            <v>SATUAN PEMBAYARAN</v>
          </cell>
          <cell r="O183" t="str">
            <v>:  M3</v>
          </cell>
        </row>
        <row r="186">
          <cell r="Q186" t="str">
            <v>PERKIRAAN</v>
          </cell>
          <cell r="R186" t="str">
            <v>HARGA</v>
          </cell>
          <cell r="S186" t="str">
            <v>JUMLAH</v>
          </cell>
        </row>
        <row r="187">
          <cell r="L187" t="str">
            <v>NO.</v>
          </cell>
          <cell r="N187" t="str">
            <v>KOMPONEN</v>
          </cell>
          <cell r="P187" t="str">
            <v>SATUAN</v>
          </cell>
          <cell r="Q187" t="str">
            <v>KUANTITAS</v>
          </cell>
          <cell r="R187" t="str">
            <v>SATUAN</v>
          </cell>
          <cell r="S187" t="str">
            <v>HARGA</v>
          </cell>
        </row>
        <row r="188">
          <cell r="R188" t="str">
            <v>(Rp.)</v>
          </cell>
          <cell r="S188" t="str">
            <v>(Rp.)</v>
          </cell>
        </row>
        <row r="191">
          <cell r="L191" t="str">
            <v>A.</v>
          </cell>
          <cell r="N191" t="str">
            <v>TENAGA</v>
          </cell>
        </row>
        <row r="193">
          <cell r="L193" t="str">
            <v>1.</v>
          </cell>
          <cell r="N193" t="str">
            <v>Pekerja</v>
          </cell>
          <cell r="O193" t="str">
            <v>(L01)</v>
          </cell>
          <cell r="P193" t="str">
            <v>Jam</v>
          </cell>
          <cell r="Q193">
            <v>4.5898000000000003</v>
          </cell>
          <cell r="R193">
            <v>2500</v>
          </cell>
          <cell r="U193">
            <v>11474.5</v>
          </cell>
        </row>
        <row r="194">
          <cell r="L194" t="str">
            <v>2.</v>
          </cell>
          <cell r="N194" t="str">
            <v>Mandor</v>
          </cell>
          <cell r="O194" t="str">
            <v>(L03)</v>
          </cell>
          <cell r="P194" t="str">
            <v>Jam</v>
          </cell>
          <cell r="Q194">
            <v>0.13769999999999999</v>
          </cell>
          <cell r="R194">
            <v>3571.43</v>
          </cell>
          <cell r="U194">
            <v>491.78591099999994</v>
          </cell>
        </row>
        <row r="197">
          <cell r="Q197" t="str">
            <v>JUMLAH HARGA TENAGA</v>
          </cell>
          <cell r="U197">
            <v>11966.285910999999</v>
          </cell>
        </row>
        <row r="199">
          <cell r="L199" t="str">
            <v>B.</v>
          </cell>
          <cell r="N199" t="str">
            <v>BAHAN</v>
          </cell>
        </row>
        <row r="201">
          <cell r="L201" t="str">
            <v>1.</v>
          </cell>
          <cell r="N201" t="str">
            <v>Agregat Kasar</v>
          </cell>
          <cell r="O201" t="str">
            <v>(M03a)</v>
          </cell>
          <cell r="P201" t="str">
            <v>M3</v>
          </cell>
          <cell r="Q201">
            <v>1.2833000000000001</v>
          </cell>
          <cell r="R201">
            <v>120100</v>
          </cell>
          <cell r="U201">
            <v>154124.33000000002</v>
          </cell>
        </row>
        <row r="202">
          <cell r="L202" t="str">
            <v>2.</v>
          </cell>
          <cell r="N202" t="str">
            <v>Agregat Pengunci</v>
          </cell>
          <cell r="O202" t="str">
            <v>(M04a)</v>
          </cell>
          <cell r="P202" t="str">
            <v>M3</v>
          </cell>
          <cell r="Q202">
            <v>0.30559999999999998</v>
          </cell>
          <cell r="R202">
            <v>115100</v>
          </cell>
          <cell r="U202">
            <v>35174.559999999998</v>
          </cell>
        </row>
        <row r="203">
          <cell r="L203" t="str">
            <v>3</v>
          </cell>
          <cell r="N203" t="str">
            <v>Aspal</v>
          </cell>
          <cell r="O203" t="str">
            <v>(M10)</v>
          </cell>
          <cell r="P203" t="str">
            <v>Kg</v>
          </cell>
          <cell r="Q203">
            <v>109.2</v>
          </cell>
          <cell r="R203">
            <v>3500</v>
          </cell>
          <cell r="U203">
            <v>382200</v>
          </cell>
        </row>
        <row r="204">
          <cell r="L204">
            <v>4</v>
          </cell>
          <cell r="N204" t="str">
            <v>Agregat Penutup (pasir)</v>
          </cell>
          <cell r="O204" t="str">
            <v>(M01)</v>
          </cell>
          <cell r="P204" t="str">
            <v>M3</v>
          </cell>
          <cell r="Q204">
            <v>0.18440000000000001</v>
          </cell>
          <cell r="R204">
            <v>48500</v>
          </cell>
          <cell r="U204">
            <v>8943.4</v>
          </cell>
        </row>
        <row r="207">
          <cell r="Q207" t="str">
            <v>JUMLAH HARGA BAHAN</v>
          </cell>
          <cell r="U207">
            <v>580442.29</v>
          </cell>
        </row>
        <row r="209">
          <cell r="L209" t="str">
            <v>C.</v>
          </cell>
          <cell r="N209" t="str">
            <v>PERALATAN</v>
          </cell>
        </row>
        <row r="211">
          <cell r="L211" t="str">
            <v>1.</v>
          </cell>
          <cell r="N211" t="str">
            <v>Wheel Loader</v>
          </cell>
          <cell r="O211" t="str">
            <v>(E15)</v>
          </cell>
          <cell r="P211" t="str">
            <v>Jam</v>
          </cell>
          <cell r="Q211">
            <v>0</v>
          </cell>
          <cell r="R211">
            <v>143049.93</v>
          </cell>
          <cell r="U211">
            <v>0</v>
          </cell>
        </row>
        <row r="212">
          <cell r="L212" t="str">
            <v>2.</v>
          </cell>
          <cell r="N212" t="str">
            <v>Dump Truck</v>
          </cell>
          <cell r="O212" t="str">
            <v>(E09)</v>
          </cell>
          <cell r="P212" t="str">
            <v>Jam</v>
          </cell>
          <cell r="Q212">
            <v>4.2500000000000003E-2</v>
          </cell>
          <cell r="R212">
            <v>102654.43</v>
          </cell>
          <cell r="U212">
            <v>4362.8132750000004</v>
          </cell>
        </row>
        <row r="213">
          <cell r="L213" t="str">
            <v>3.</v>
          </cell>
          <cell r="N213" t="str">
            <v>Three Wheel Roller</v>
          </cell>
          <cell r="O213" t="str">
            <v>(E16)</v>
          </cell>
          <cell r="P213" t="str">
            <v>Jam</v>
          </cell>
          <cell r="Q213">
            <v>4.5897877223178424E-2</v>
          </cell>
          <cell r="R213">
            <v>70179.929999999993</v>
          </cell>
          <cell r="U213">
            <v>3221.1098106712557</v>
          </cell>
        </row>
        <row r="214">
          <cell r="L214" t="str">
            <v>4.</v>
          </cell>
          <cell r="N214" t="str">
            <v>Asp. Sprayer</v>
          </cell>
          <cell r="O214" t="str">
            <v>(E03)</v>
          </cell>
          <cell r="P214" t="str">
            <v>Jam</v>
          </cell>
          <cell r="Q214">
            <v>0.31019999999999998</v>
          </cell>
          <cell r="R214">
            <v>24722.73</v>
          </cell>
          <cell r="U214">
            <v>7668.9908459999997</v>
          </cell>
        </row>
        <row r="215">
          <cell r="L215" t="str">
            <v>5.</v>
          </cell>
          <cell r="N215" t="str">
            <v>Alat bantu</v>
          </cell>
          <cell r="P215" t="str">
            <v>Ls</v>
          </cell>
          <cell r="Q215">
            <v>1</v>
          </cell>
          <cell r="R215">
            <v>500</v>
          </cell>
          <cell r="U215">
            <v>500</v>
          </cell>
        </row>
        <row r="219">
          <cell r="Q219" t="str">
            <v>JUMLAH HARGA PERALATAN</v>
          </cell>
          <cell r="U219">
            <v>15752.913931671257</v>
          </cell>
        </row>
        <row r="220">
          <cell r="L220" t="str">
            <v>D.</v>
          </cell>
          <cell r="N220" t="str">
            <v>JUMLAH HARGA TENAGA, BAHAN DAN PERALATAN  ( A + B + C )</v>
          </cell>
          <cell r="U220">
            <v>608161.48984267132</v>
          </cell>
        </row>
        <row r="221">
          <cell r="L221" t="str">
            <v>E.</v>
          </cell>
          <cell r="N221" t="str">
            <v>OVERHEAD &amp; PROFIT</v>
          </cell>
          <cell r="P221">
            <v>10</v>
          </cell>
          <cell r="Q221" t="str">
            <v>%  x  D</v>
          </cell>
          <cell r="U221">
            <v>60816.15</v>
          </cell>
        </row>
        <row r="222">
          <cell r="L222" t="str">
            <v>F.</v>
          </cell>
          <cell r="N222" t="str">
            <v>HARGA SATUAN PEKERJAAN  ( D + E )</v>
          </cell>
          <cell r="U222">
            <v>668977.63984267134</v>
          </cell>
        </row>
        <row r="224">
          <cell r="L224" t="str">
            <v>Note: 1</v>
          </cell>
          <cell r="N224" t="str">
            <v>SATUAN dapat berdasarkan atas jam operasi untuk Tenaga Kerja dan Peralatan, volume dan/atau ukuran berat untuk bahan-bahan</v>
          </cell>
        </row>
        <row r="225">
          <cell r="L225">
            <v>2</v>
          </cell>
          <cell r="N225" t="str">
            <v>Kuantitas satuan adalah kuantitas setiap komponen untuk menyelesaikan satu satuan pekerjaan dari nomor mata pembayaran</v>
          </cell>
        </row>
        <row r="226">
          <cell r="L226">
            <v>3</v>
          </cell>
          <cell r="N226" t="str">
            <v>Biaya satuan untuk peralatan sudah termasuk bahan bakar, bahan habis dipakai dan operator.</v>
          </cell>
        </row>
        <row r="227">
          <cell r="L227">
            <v>4</v>
          </cell>
          <cell r="N227" t="str">
            <v>Biaya satuan sudah termasuk pengeluaran untuk seluruh pajak yang berkaitan (tetapi tidak termasuk PPN yang dibayar dari kontrak )</v>
          </cell>
        </row>
        <row r="228">
          <cell r="N228" t="str">
            <v>dan biaya-biaya lainnya.</v>
          </cell>
        </row>
      </sheetData>
      <sheetData sheetId="12">
        <row r="178">
          <cell r="T178" t="str">
            <v>Analisa EI-8.21</v>
          </cell>
        </row>
        <row r="180">
          <cell r="L180" t="str">
            <v>FORMULIR STANDAR UNTUK</v>
          </cell>
        </row>
        <row r="181">
          <cell r="L181" t="str">
            <v>PEREKAMAN ANALISA MASING-MASING HARGA SATUAN</v>
          </cell>
        </row>
        <row r="184">
          <cell r="L184" t="str">
            <v>PROYEK</v>
          </cell>
          <cell r="O184" t="str">
            <v>:  Peningkatan Jalan dan Jembatan Wilayah Barat</v>
          </cell>
        </row>
        <row r="185">
          <cell r="L185" t="str">
            <v>No. PAKET KONTRAK</v>
          </cell>
          <cell r="O185" t="str">
            <v>:</v>
          </cell>
        </row>
        <row r="186">
          <cell r="L186" t="str">
            <v>PEKERJAAN</v>
          </cell>
          <cell r="O186" t="str">
            <v>:  Pembangunan Jembatan Beton Tersebar di Wilayah Barat</v>
          </cell>
        </row>
        <row r="187">
          <cell r="L187" t="str">
            <v>KABUPATEN</v>
          </cell>
          <cell r="O187" t="str">
            <v>:  Lampung Timur</v>
          </cell>
        </row>
        <row r="188">
          <cell r="L188" t="str">
            <v>ITEM PEMBAYARAN NO.</v>
          </cell>
          <cell r="O188" t="str">
            <v>:  8.2(1)</v>
          </cell>
        </row>
        <row r="189">
          <cell r="L189" t="str">
            <v>JENIS PEKERJAAN</v>
          </cell>
          <cell r="O189" t="str">
            <v>:  Galian Utk.Bahu &amp; Pek. Lainnya ,Rutin</v>
          </cell>
        </row>
        <row r="190">
          <cell r="L190" t="str">
            <v>SATUAN PEMBAYARAN</v>
          </cell>
          <cell r="O190" t="str">
            <v>:  M3</v>
          </cell>
        </row>
        <row r="193">
          <cell r="Q193" t="str">
            <v>PERKIRAAN</v>
          </cell>
          <cell r="R193" t="str">
            <v>HARGA</v>
          </cell>
          <cell r="S193" t="str">
            <v>JUMLAH</v>
          </cell>
        </row>
        <row r="194">
          <cell r="L194" t="str">
            <v>NO.</v>
          </cell>
          <cell r="N194" t="str">
            <v>KOMPONEN</v>
          </cell>
          <cell r="P194" t="str">
            <v>SATUAN</v>
          </cell>
          <cell r="Q194" t="str">
            <v>KUANTITAS</v>
          </cell>
          <cell r="R194" t="str">
            <v>SATUAN</v>
          </cell>
          <cell r="S194" t="str">
            <v>HARGA</v>
          </cell>
        </row>
        <row r="195">
          <cell r="R195" t="str">
            <v>(Rp.)</v>
          </cell>
          <cell r="S195" t="str">
            <v>(Rp.)</v>
          </cell>
        </row>
        <row r="198">
          <cell r="L198" t="str">
            <v>A.</v>
          </cell>
          <cell r="N198" t="str">
            <v>TENAGA</v>
          </cell>
        </row>
        <row r="200">
          <cell r="L200" t="str">
            <v>1.</v>
          </cell>
          <cell r="N200" t="str">
            <v>Pekerja Biasa</v>
          </cell>
          <cell r="O200" t="str">
            <v>(L01)</v>
          </cell>
          <cell r="P200" t="str">
            <v>Jam</v>
          </cell>
          <cell r="Q200">
            <v>0.1124</v>
          </cell>
          <cell r="R200">
            <v>2500</v>
          </cell>
          <cell r="U200">
            <v>281</v>
          </cell>
        </row>
        <row r="201">
          <cell r="L201" t="str">
            <v>2.</v>
          </cell>
          <cell r="N201" t="str">
            <v>Mandor</v>
          </cell>
          <cell r="O201" t="str">
            <v>(L03)</v>
          </cell>
          <cell r="P201" t="str">
            <v>Jam</v>
          </cell>
          <cell r="Q201">
            <v>3.7499999999999999E-2</v>
          </cell>
          <cell r="R201">
            <v>3571.43</v>
          </cell>
          <cell r="U201">
            <v>133.93</v>
          </cell>
        </row>
        <row r="204">
          <cell r="Q204" t="str">
            <v>JUMLAH HARGA TENAGA</v>
          </cell>
          <cell r="U204">
            <v>414.93</v>
          </cell>
        </row>
        <row r="206">
          <cell r="L206" t="str">
            <v>B.</v>
          </cell>
          <cell r="N206" t="str">
            <v>BAHAN</v>
          </cell>
        </row>
        <row r="214">
          <cell r="Q214" t="str">
            <v>JUMLAH HARGA BAHAN</v>
          </cell>
          <cell r="U214">
            <v>0</v>
          </cell>
        </row>
        <row r="216">
          <cell r="L216" t="str">
            <v>C.</v>
          </cell>
          <cell r="N216" t="str">
            <v>PERALATAN</v>
          </cell>
        </row>
        <row r="218">
          <cell r="L218" t="str">
            <v>1.</v>
          </cell>
          <cell r="N218" t="str">
            <v>Excavator</v>
          </cell>
          <cell r="O218" t="str">
            <v>(E10)</v>
          </cell>
          <cell r="P218" t="str">
            <v>Jam</v>
          </cell>
          <cell r="Q218">
            <v>3.7499999999999999E-2</v>
          </cell>
          <cell r="R218">
            <v>251051.43</v>
          </cell>
          <cell r="U218">
            <v>9414.43</v>
          </cell>
        </row>
        <row r="219">
          <cell r="L219" t="str">
            <v>2.</v>
          </cell>
          <cell r="N219" t="str">
            <v>Dump Truck</v>
          </cell>
          <cell r="O219" t="str">
            <v>(E08)</v>
          </cell>
          <cell r="P219" t="str">
            <v>Jam</v>
          </cell>
          <cell r="Q219">
            <v>7.2300000000000003E-2</v>
          </cell>
          <cell r="R219">
            <v>82267.929999999993</v>
          </cell>
          <cell r="U219">
            <v>5947.97</v>
          </cell>
        </row>
        <row r="220">
          <cell r="L220" t="str">
            <v>3.</v>
          </cell>
          <cell r="N220" t="str">
            <v>Alat Bantu</v>
          </cell>
          <cell r="P220" t="str">
            <v>Ls</v>
          </cell>
          <cell r="Q220">
            <v>1</v>
          </cell>
          <cell r="R220">
            <v>100</v>
          </cell>
          <cell r="U220">
            <v>100</v>
          </cell>
        </row>
        <row r="226">
          <cell r="Q226" t="str">
            <v>JUMLAH HARGA PERALATAN</v>
          </cell>
          <cell r="U226">
            <v>15462.400000000001</v>
          </cell>
        </row>
        <row r="227">
          <cell r="L227" t="str">
            <v>D.</v>
          </cell>
          <cell r="N227" t="str">
            <v>JUMLAH HARGA TENAGA, BAHAN DAN PERALATAN  ( A + B + C )</v>
          </cell>
          <cell r="U227">
            <v>15877.330000000002</v>
          </cell>
        </row>
        <row r="228">
          <cell r="L228" t="str">
            <v>E.</v>
          </cell>
          <cell r="N228" t="str">
            <v>OVERHEAD &amp; PROFIT</v>
          </cell>
          <cell r="P228">
            <v>10</v>
          </cell>
          <cell r="Q228" t="str">
            <v>%  x  D</v>
          </cell>
          <cell r="U228">
            <v>1587.73</v>
          </cell>
        </row>
        <row r="229">
          <cell r="L229" t="str">
            <v>F.</v>
          </cell>
          <cell r="N229" t="str">
            <v>HARGA SATUAN PEKERJAAN  ( D + E )</v>
          </cell>
          <cell r="U229">
            <v>17465.060000000001</v>
          </cell>
        </row>
        <row r="231">
          <cell r="L231" t="str">
            <v>Note: 1</v>
          </cell>
          <cell r="N231" t="str">
            <v>SATUAN dapat berdasarkan atas jam operasi untuk Tenaga Kerja dan Peralatan, volume dan/atau ukuran berat untuk bahan</v>
          </cell>
        </row>
        <row r="232">
          <cell r="L232">
            <v>2</v>
          </cell>
          <cell r="N232" t="str">
            <v>Kuantitas satuan adalah kuantitas setiap komponen untuk menyelesaikan satu satuan pekerjaan dari nomor mata pembayaran</v>
          </cell>
        </row>
        <row r="233">
          <cell r="L233">
            <v>3</v>
          </cell>
          <cell r="N233" t="str">
            <v>Biaya satuan untuk peralatan sudah termasuk bahan bakar, bahan habis dipakai dan operator.</v>
          </cell>
        </row>
        <row r="234">
          <cell r="L234">
            <v>4</v>
          </cell>
          <cell r="N234" t="str">
            <v>Biaya satuan sudah termasuk pengeluaran untuk seluruh pajak yang berkaitan (tetapi tidak termasuk PPN yang dibayar dari ontrak )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sola"/>
      <sheetName val="pura"/>
      <sheetName val="cover"/>
      <sheetName val="Bahan"/>
      <sheetName val="analis"/>
      <sheetName val="Pagar"/>
      <sheetName val="Drain"/>
      <sheetName val="mes1"/>
      <sheetName val="mes2"/>
      <sheetName val="daplon"/>
      <sheetName val="Kantor"/>
      <sheetName val="Jln"/>
      <sheetName val="tower"/>
      <sheetName val="Lansc"/>
      <sheetName val="Lapu"/>
      <sheetName val="tenis"/>
      <sheetName val="kantin"/>
      <sheetName val="rekap"/>
      <sheetName val="ANALISA SNI'07(Bangli)"/>
      <sheetName val="H.Satuan"/>
      <sheetName val="ANALISA SNI'08"/>
      <sheetName val="villa"/>
    </sheetNames>
    <sheetDataSet>
      <sheetData sheetId="0"/>
      <sheetData sheetId="1"/>
      <sheetData sheetId="2"/>
      <sheetData sheetId="3"/>
      <sheetData sheetId="4">
        <row r="10">
          <cell r="J10">
            <v>19750</v>
          </cell>
        </row>
        <row r="19">
          <cell r="J19">
            <v>7250</v>
          </cell>
        </row>
        <row r="76">
          <cell r="J76">
            <v>20585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asrama"/>
      <sheetName val="kantin"/>
      <sheetName val="rekap"/>
      <sheetName val="cover"/>
      <sheetName val="ANALISA  (BARU)"/>
      <sheetName val="daf-3(OK)"/>
      <sheetName val="daf-7(OK)"/>
      <sheetName val="analisa"/>
      <sheetName val="Estimate"/>
      <sheetName val="anal"/>
    </sheetNames>
    <sheetDataSet>
      <sheetData sheetId="0"/>
      <sheetData sheetId="1">
        <row r="658">
          <cell r="J658">
            <v>3937.5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D.98"/>
      <sheetName val="D.99"/>
      <sheetName val="D.100"/>
      <sheetName val="D.101"/>
      <sheetName val="D.102"/>
      <sheetName val="D.103"/>
      <sheetName val="D.104"/>
      <sheetName val="D.105"/>
      <sheetName val="D.106"/>
      <sheetName val="D.107"/>
      <sheetName val="D.108"/>
      <sheetName val="D.109"/>
      <sheetName val="D.110"/>
      <sheetName val="D.111"/>
      <sheetName val="D.112"/>
      <sheetName val="B.113"/>
      <sheetName val="D.114"/>
      <sheetName val="D.115"/>
      <sheetName val="D.116"/>
      <sheetName val="D.117"/>
      <sheetName val="D.118"/>
      <sheetName val="D.119"/>
      <sheetName val="B.120"/>
      <sheetName val="D.121"/>
      <sheetName val="B.122"/>
      <sheetName val="T"/>
      <sheetName val="&amp;"/>
      <sheetName val="@"/>
      <sheetName val="SMPN 13"/>
      <sheetName val="U&amp;B-BOW"/>
      <sheetName val="ANBOW-2006"/>
      <sheetName val="ANLBOR-2006"/>
      <sheetName val="Analisa SNI "/>
      <sheetName val="hrg uph+bhn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ANALISA"/>
      <sheetName val="harga upah"/>
      <sheetName val="Alat"/>
      <sheetName val="Div.5"/>
      <sheetName val="Quary"/>
      <sheetName val="Basic"/>
      <sheetName val="Div.2"/>
      <sheetName val="Div.3"/>
      <sheetName val="Div.6"/>
      <sheetName val="Div.8"/>
      <sheetName val="Agt Hls&amp;Ksr"/>
      <sheetName val="Analisa K"/>
      <sheetName val="Analisa SNI"/>
      <sheetName val="Rekap Anl.K"/>
      <sheetName val="rab 4"/>
      <sheetName val="REKAP"/>
      <sheetName val="HB "/>
      <sheetName val="Analisa RAB"/>
      <sheetName val="CekList"/>
      <sheetName val="Sch Tender"/>
      <sheetName val="Alat B"/>
      <sheetName val="Bahan B"/>
      <sheetName val="Upah B"/>
      <sheetName val="Lain-Lain"/>
      <sheetName val="Telusur"/>
      <sheetName val="BQ RAB"/>
      <sheetName val="THR"/>
      <sheetName val="RAB ME"/>
      <sheetName val="Uraian Teknis"/>
      <sheetName val="bahan"/>
      <sheetName val="HARGA"/>
      <sheetName val="B"/>
      <sheetName val="print_upah alat bahan"/>
      <sheetName val="M"/>
      <sheetName val="A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N"/>
      <sheetName val="O"/>
      <sheetName val="P"/>
      <sheetName val="database"/>
      <sheetName val="analis"/>
      <sheetName val="PEK. PENUTUP ATAP"/>
      <sheetName val="HARGA BAHAN"/>
      <sheetName val="PEK. SANITASI GEDUNG"/>
      <sheetName val="PEK. LANGIT LANGIT"/>
      <sheetName val="ANALISA TAMBAHAN"/>
      <sheetName val="PEK. ELEKTRIKAL"/>
      <sheetName val="PEK. KAYU"/>
      <sheetName val="HARGA SAT"/>
      <sheetName val="ANALISA 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D.103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>Sukamaju</v>
          </cell>
        </row>
        <row r="8">
          <cell r="B8" t="str">
            <v>Kegiatan</v>
          </cell>
          <cell r="E8" t="str">
            <v>:</v>
          </cell>
          <cell r="F8" t="str">
            <v>Pembangunan Gedung Sekolah</v>
          </cell>
        </row>
        <row r="9">
          <cell r="B9" t="str">
            <v>Pekerjaan</v>
          </cell>
          <cell r="E9" t="str">
            <v>:</v>
          </cell>
          <cell r="F9" t="str">
            <v>Pembangunan SDN 1 Sukamaju (Bertingkat)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500000</v>
          </cell>
          <cell r="L16">
            <v>500000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Dokumentasi Foto 0%,50%, 100%</v>
          </cell>
          <cell r="H18" t="str">
            <v>Dihitung</v>
          </cell>
          <cell r="I18">
            <v>1</v>
          </cell>
          <cell r="J18" t="str">
            <v>Ls</v>
          </cell>
          <cell r="K18">
            <v>500000</v>
          </cell>
          <cell r="L18">
            <v>500000</v>
          </cell>
        </row>
        <row r="19">
          <cell r="B19">
            <v>4</v>
          </cell>
          <cell r="D19" t="str">
            <v>Pembersihan Lokasi Proyek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400000</v>
          </cell>
          <cell r="L19">
            <v>400000</v>
          </cell>
        </row>
        <row r="20">
          <cell r="B20">
            <v>5</v>
          </cell>
          <cell r="D20" t="str">
            <v>Biaya Obat-obatan/P3K</v>
          </cell>
          <cell r="H20" t="str">
            <v>Dihitung</v>
          </cell>
          <cell r="I20">
            <v>1</v>
          </cell>
          <cell r="J20" t="str">
            <v>Ls</v>
          </cell>
          <cell r="K20">
            <v>250000</v>
          </cell>
          <cell r="L20">
            <v>250000</v>
          </cell>
        </row>
        <row r="21">
          <cell r="B21">
            <v>6</v>
          </cell>
          <cell r="D21" t="str">
            <v>Bongkaran dan Pembuangan</v>
          </cell>
          <cell r="H21" t="str">
            <v>Dihitung</v>
          </cell>
          <cell r="I21">
            <v>1</v>
          </cell>
          <cell r="J21" t="str">
            <v>Ls</v>
          </cell>
          <cell r="K21">
            <v>2500000</v>
          </cell>
          <cell r="L21">
            <v>2500000</v>
          </cell>
        </row>
        <row r="22">
          <cell r="D22" t="str">
            <v>SUB TOTAL  I</v>
          </cell>
          <cell r="L22">
            <v>4400000</v>
          </cell>
        </row>
        <row r="23">
          <cell r="B23" t="str">
            <v>II</v>
          </cell>
          <cell r="D23" t="str">
            <v>PEKERJAAN TANAH</v>
          </cell>
        </row>
        <row r="24">
          <cell r="B24">
            <v>1</v>
          </cell>
          <cell r="D24" t="str">
            <v>Galian Tanah Pondasi</v>
          </cell>
          <cell r="H24" t="str">
            <v>A.1</v>
          </cell>
          <cell r="I24">
            <v>257.86</v>
          </cell>
          <cell r="J24" t="str">
            <v>M3</v>
          </cell>
          <cell r="K24">
            <v>19775</v>
          </cell>
          <cell r="L24">
            <v>5099181.5</v>
          </cell>
        </row>
        <row r="25">
          <cell r="B25">
            <v>2</v>
          </cell>
          <cell r="D25" t="str">
            <v>Timbunan/Urugan bangunan dipadatkan</v>
          </cell>
          <cell r="H25" t="str">
            <v>A.7.2</v>
          </cell>
          <cell r="I25">
            <v>528.5</v>
          </cell>
          <cell r="J25" t="str">
            <v>M3</v>
          </cell>
          <cell r="K25">
            <v>123146</v>
          </cell>
          <cell r="L25">
            <v>65082661</v>
          </cell>
        </row>
        <row r="26">
          <cell r="B26">
            <v>3</v>
          </cell>
          <cell r="D26" t="str">
            <v>Urugan Pasir Bawah Lantai</v>
          </cell>
          <cell r="H26" t="str">
            <v>A.18</v>
          </cell>
          <cell r="I26">
            <v>25.200000000000003</v>
          </cell>
          <cell r="J26" t="str">
            <v>M3</v>
          </cell>
          <cell r="K26">
            <v>146691.20000000001</v>
          </cell>
          <cell r="L26">
            <v>3696618.24</v>
          </cell>
        </row>
        <row r="27">
          <cell r="D27" t="str">
            <v>SUB TOTAL  II</v>
          </cell>
          <cell r="L27">
            <v>73878460.739999995</v>
          </cell>
        </row>
        <row r="28">
          <cell r="B28" t="str">
            <v>III</v>
          </cell>
          <cell r="D28" t="str">
            <v>PEKERJAAN  PASANGAN</v>
          </cell>
        </row>
        <row r="29">
          <cell r="B29">
            <v>1</v>
          </cell>
          <cell r="D29" t="str">
            <v>Pas. Batu Belah untuk Talud dan Tangga</v>
          </cell>
          <cell r="H29" t="str">
            <v>G.32h+G.26(a)</v>
          </cell>
          <cell r="I29">
            <v>246.73500000000001</v>
          </cell>
          <cell r="J29" t="str">
            <v>M3</v>
          </cell>
          <cell r="K29">
            <v>527127.02</v>
          </cell>
          <cell r="L29">
            <v>130060685.28</v>
          </cell>
        </row>
        <row r="30">
          <cell r="B30">
            <v>2</v>
          </cell>
          <cell r="D30" t="str">
            <v>Pas. Dinding Bata adukan 1 : 4</v>
          </cell>
          <cell r="H30" t="str">
            <v>G.33h+G.32a</v>
          </cell>
          <cell r="I30">
            <v>87.125</v>
          </cell>
          <cell r="J30" t="str">
            <v>M3</v>
          </cell>
          <cell r="K30">
            <v>383258.81</v>
          </cell>
          <cell r="L30">
            <v>33391423.82</v>
          </cell>
        </row>
        <row r="31">
          <cell r="B31">
            <v>3</v>
          </cell>
          <cell r="D31" t="str">
            <v>Pas. Plesteran adukan 1 : 4</v>
          </cell>
          <cell r="H31" t="str">
            <v>G.50q+G.48</v>
          </cell>
          <cell r="I31">
            <v>1111.55</v>
          </cell>
          <cell r="J31" t="str">
            <v>M2</v>
          </cell>
          <cell r="K31">
            <v>19133.61</v>
          </cell>
          <cell r="L31">
            <v>21267964.199999999</v>
          </cell>
        </row>
        <row r="32">
          <cell r="B32">
            <v>4</v>
          </cell>
          <cell r="D32" t="str">
            <v>Pas. Lantai floor adukan 1 : 3</v>
          </cell>
          <cell r="H32" t="str">
            <v>G.51i</v>
          </cell>
          <cell r="I32">
            <v>248.85</v>
          </cell>
          <cell r="J32" t="str">
            <v>M2</v>
          </cell>
          <cell r="K32">
            <v>27805.629999999997</v>
          </cell>
          <cell r="L32">
            <v>6919431.0300000003</v>
          </cell>
        </row>
        <row r="33">
          <cell r="B33">
            <v>6</v>
          </cell>
          <cell r="D33" t="str">
            <v>Pas. Rabat beton tak bertulng</v>
          </cell>
          <cell r="H33" t="str">
            <v>G.41</v>
          </cell>
          <cell r="I33">
            <v>3.7</v>
          </cell>
          <cell r="J33" t="str">
            <v>M3</v>
          </cell>
          <cell r="K33">
            <v>701589.14</v>
          </cell>
          <cell r="L33">
            <v>2595879.8199999998</v>
          </cell>
        </row>
        <row r="34">
          <cell r="B34">
            <v>7</v>
          </cell>
          <cell r="D34" t="str">
            <v>Pas. Keramik Lantai 30/30</v>
          </cell>
          <cell r="H34" t="str">
            <v>Supl.III(d)</v>
          </cell>
          <cell r="I34">
            <v>248.85</v>
          </cell>
          <cell r="J34" t="str">
            <v>M2</v>
          </cell>
          <cell r="K34">
            <v>64891.59</v>
          </cell>
          <cell r="L34">
            <v>16148272.17</v>
          </cell>
        </row>
        <row r="35">
          <cell r="D35" t="str">
            <v>SUB TOTAL  III</v>
          </cell>
          <cell r="L35">
            <v>210383656.31999996</v>
          </cell>
        </row>
        <row r="36">
          <cell r="B36" t="str">
            <v>IV</v>
          </cell>
          <cell r="D36" t="str">
            <v>PEKERJAAN BETON</v>
          </cell>
        </row>
        <row r="37">
          <cell r="B37">
            <v>1</v>
          </cell>
          <cell r="D37" t="str">
            <v>Cor Beton Foot Plat (1:2:3)</v>
          </cell>
          <cell r="H37" t="str">
            <v>G.41+3/4 I.2(b)+1/2 F.8</v>
          </cell>
          <cell r="I37">
            <v>40.1</v>
          </cell>
          <cell r="J37" t="str">
            <v>M3</v>
          </cell>
          <cell r="K37">
            <v>2846717.78</v>
          </cell>
          <cell r="L37">
            <v>114153382.98</v>
          </cell>
        </row>
        <row r="38">
          <cell r="B38">
            <v>2</v>
          </cell>
          <cell r="D38" t="str">
            <v>Cor Beton Sloof 25/35 (1:2:3)</v>
          </cell>
          <cell r="H38" t="str">
            <v>G.41+3/4 I.2(b)+1/2 F.8</v>
          </cell>
          <cell r="I38">
            <v>29.4</v>
          </cell>
          <cell r="J38" t="str">
            <v>M3</v>
          </cell>
          <cell r="K38">
            <v>2846717.78</v>
          </cell>
          <cell r="L38">
            <v>83693502.730000004</v>
          </cell>
        </row>
        <row r="39">
          <cell r="B39">
            <v>3</v>
          </cell>
          <cell r="D39" t="str">
            <v>Cor Beton Kolom 30/30 (1:2:3)</v>
          </cell>
          <cell r="H39" t="str">
            <v>G.41+3/4 I.2(b)+1/2 F.8</v>
          </cell>
          <cell r="I39">
            <v>19.835999999999999</v>
          </cell>
          <cell r="J39" t="str">
            <v>M3</v>
          </cell>
          <cell r="K39">
            <v>2846717.78</v>
          </cell>
          <cell r="L39">
            <v>56467493.880000003</v>
          </cell>
        </row>
        <row r="40">
          <cell r="B40">
            <v>4</v>
          </cell>
          <cell r="D40" t="str">
            <v>Cor Beton Ringbalk 20/35 (1:2:3)</v>
          </cell>
          <cell r="H40" t="str">
            <v>G.41+3/4 I.2(b)+1/2 F.8</v>
          </cell>
          <cell r="I40">
            <v>6.51</v>
          </cell>
          <cell r="J40" t="str">
            <v>M3</v>
          </cell>
          <cell r="K40">
            <v>2846717.78</v>
          </cell>
          <cell r="L40">
            <v>18532132.75</v>
          </cell>
        </row>
        <row r="41">
          <cell r="B41">
            <v>5</v>
          </cell>
          <cell r="D41" t="str">
            <v>Cor Beton Balok 25/50 (1:2:3)</v>
          </cell>
          <cell r="H41" t="str">
            <v>G.41+3/4 I.2(b)+1/2 F.8</v>
          </cell>
          <cell r="I41">
            <v>6</v>
          </cell>
          <cell r="J41" t="str">
            <v>M3</v>
          </cell>
          <cell r="K41">
            <v>2846717.78</v>
          </cell>
          <cell r="L41">
            <v>17080306.68</v>
          </cell>
        </row>
        <row r="42">
          <cell r="B42">
            <v>6</v>
          </cell>
          <cell r="D42" t="str">
            <v>Cor Beton Tangga (1:2:3)</v>
          </cell>
          <cell r="H42" t="str">
            <v>G.41+3/4 I.2(b)+F.8</v>
          </cell>
          <cell r="I42">
            <v>2.448</v>
          </cell>
          <cell r="J42" t="str">
            <v>M3</v>
          </cell>
          <cell r="K42">
            <v>3348157.78</v>
          </cell>
          <cell r="L42">
            <v>8196290.25</v>
          </cell>
        </row>
        <row r="43">
          <cell r="B43">
            <v>7</v>
          </cell>
          <cell r="D43" t="str">
            <v>Cor Beton Plat Lantai (1:2:3)</v>
          </cell>
          <cell r="H43" t="str">
            <v>G.41+3/4 I.2(b)+F.8</v>
          </cell>
          <cell r="I43">
            <v>47.52</v>
          </cell>
          <cell r="J43" t="str">
            <v>M3</v>
          </cell>
          <cell r="K43">
            <v>3348157.78</v>
          </cell>
          <cell r="L43">
            <v>159104457.71000001</v>
          </cell>
        </row>
        <row r="45">
          <cell r="D45" t="str">
            <v>SUB TOTAL  IV</v>
          </cell>
          <cell r="L45">
            <v>457227566.98000002</v>
          </cell>
        </row>
        <row r="46">
          <cell r="B46" t="str">
            <v>V</v>
          </cell>
          <cell r="D46" t="str">
            <v>PEKERJAAN KUSEN</v>
          </cell>
        </row>
        <row r="47">
          <cell r="B47">
            <v>1</v>
          </cell>
          <cell r="D47" t="str">
            <v>Pas. Kusen Pintu &amp; Jendela (Kayu kls II)</v>
          </cell>
          <cell r="H47" t="str">
            <v>F.27(b)</v>
          </cell>
          <cell r="I47">
            <v>4.6100000000000003</v>
          </cell>
          <cell r="J47" t="str">
            <v>M3</v>
          </cell>
          <cell r="K47">
            <v>3180138</v>
          </cell>
          <cell r="L47">
            <v>14660436.18</v>
          </cell>
        </row>
        <row r="48">
          <cell r="B48">
            <v>2</v>
          </cell>
          <cell r="D48" t="str">
            <v>Pas. Daun Pintu Panel Kayu Kelas II</v>
          </cell>
          <cell r="H48" t="str">
            <v>F.33.2(b)</v>
          </cell>
          <cell r="I48">
            <v>21.6</v>
          </cell>
          <cell r="J48" t="str">
            <v>M2</v>
          </cell>
          <cell r="K48">
            <v>473575</v>
          </cell>
          <cell r="L48">
            <v>10229220</v>
          </cell>
        </row>
        <row r="49">
          <cell r="B49">
            <v>4</v>
          </cell>
          <cell r="D49" t="str">
            <v>Pas. Daun Jendela (Kaca Polos 5 mm) Kayu Kelas II</v>
          </cell>
          <cell r="H49" t="str">
            <v>F.36(d)</v>
          </cell>
          <cell r="I49">
            <v>22.5</v>
          </cell>
          <cell r="J49" t="str">
            <v>M2</v>
          </cell>
          <cell r="K49">
            <v>435778</v>
          </cell>
          <cell r="L49">
            <v>9805005</v>
          </cell>
        </row>
        <row r="50">
          <cell r="B50">
            <v>5</v>
          </cell>
          <cell r="D50" t="str">
            <v>Pas. Jalusi Kayu Kelas II</v>
          </cell>
          <cell r="H50" t="str">
            <v>F.31(a)</v>
          </cell>
          <cell r="I50">
            <v>46.98</v>
          </cell>
          <cell r="J50" t="str">
            <v>M2</v>
          </cell>
          <cell r="K50">
            <v>184030.5</v>
          </cell>
          <cell r="L50">
            <v>8645752.8900000006</v>
          </cell>
        </row>
        <row r="51">
          <cell r="B51">
            <v>6</v>
          </cell>
          <cell r="D51" t="str">
            <v>Pas. Engsel Pintu @ 3 bh</v>
          </cell>
          <cell r="H51" t="str">
            <v>Supl.BMPK.2(a)</v>
          </cell>
          <cell r="I51">
            <v>36</v>
          </cell>
          <cell r="J51" t="str">
            <v>Bh</v>
          </cell>
          <cell r="K51">
            <v>8266</v>
          </cell>
          <cell r="L51">
            <v>297576</v>
          </cell>
        </row>
        <row r="52">
          <cell r="B52">
            <v>7</v>
          </cell>
          <cell r="D52" t="str">
            <v>Pas. Engsel Jendela @ 3 bh</v>
          </cell>
          <cell r="H52" t="str">
            <v>Supl.BMPK.2(b)</v>
          </cell>
          <cell r="I52">
            <v>180</v>
          </cell>
          <cell r="J52" t="str">
            <v>Bh</v>
          </cell>
          <cell r="K52">
            <v>7066</v>
          </cell>
          <cell r="L52">
            <v>1271880</v>
          </cell>
        </row>
        <row r="53">
          <cell r="B53">
            <v>8</v>
          </cell>
          <cell r="D53" t="str">
            <v>Pas. Grendel Jendela</v>
          </cell>
          <cell r="H53" t="str">
            <v>Supl.BMPK.5(a)</v>
          </cell>
          <cell r="I53">
            <v>180</v>
          </cell>
          <cell r="J53" t="str">
            <v>Bh</v>
          </cell>
          <cell r="K53">
            <v>6566</v>
          </cell>
          <cell r="L53">
            <v>1181880</v>
          </cell>
        </row>
        <row r="54">
          <cell r="B54">
            <v>9</v>
          </cell>
          <cell r="D54" t="str">
            <v>Pas. Tarikan Jendela</v>
          </cell>
          <cell r="H54" t="str">
            <v>Supl.BMPK.3(b)</v>
          </cell>
          <cell r="I54">
            <v>90</v>
          </cell>
          <cell r="J54" t="str">
            <v>Bh</v>
          </cell>
          <cell r="K54">
            <v>9066</v>
          </cell>
          <cell r="L54">
            <v>815940</v>
          </cell>
        </row>
        <row r="55">
          <cell r="B55">
            <v>10</v>
          </cell>
          <cell r="D55" t="str">
            <v>Pas. Hak Angin</v>
          </cell>
          <cell r="H55" t="str">
            <v>Supl.BMPK.4</v>
          </cell>
          <cell r="I55">
            <v>180</v>
          </cell>
          <cell r="J55" t="str">
            <v>Bh</v>
          </cell>
          <cell r="K55">
            <v>4066</v>
          </cell>
          <cell r="L55">
            <v>731880</v>
          </cell>
        </row>
        <row r="56">
          <cell r="B56">
            <v>11</v>
          </cell>
          <cell r="D56" t="str">
            <v>Pas. Kunci Tanam 2 x Putar</v>
          </cell>
          <cell r="H56" t="str">
            <v>Supl.BMPK.1(b)</v>
          </cell>
          <cell r="I56">
            <v>6</v>
          </cell>
          <cell r="J56" t="str">
            <v>Bh</v>
          </cell>
          <cell r="K56">
            <v>79000</v>
          </cell>
          <cell r="L56">
            <v>474000</v>
          </cell>
        </row>
        <row r="57">
          <cell r="D57" t="str">
            <v>SUB TOTAL  V</v>
          </cell>
          <cell r="L57">
            <v>48113570.07</v>
          </cell>
        </row>
        <row r="58">
          <cell r="B58" t="str">
            <v>VI</v>
          </cell>
          <cell r="D58" t="str">
            <v>PEKERJAAN ATAP &amp; PLAFON</v>
          </cell>
        </row>
        <row r="59">
          <cell r="B59">
            <v>1</v>
          </cell>
          <cell r="D59" t="str">
            <v>Pas. Kuda-Kuda Rangka Baja L.60.60.6, Plat simpul 8 mm</v>
          </cell>
          <cell r="H59" t="str">
            <v>F.22a</v>
          </cell>
          <cell r="I59">
            <v>1288.46</v>
          </cell>
          <cell r="J59" t="str">
            <v>Kg</v>
          </cell>
          <cell r="K59">
            <v>43250</v>
          </cell>
          <cell r="L59">
            <v>55725895</v>
          </cell>
        </row>
        <row r="60">
          <cell r="B60">
            <v>2</v>
          </cell>
          <cell r="D60" t="str">
            <v>Pasang Treksteng Dia 10 mm</v>
          </cell>
          <cell r="H60" t="str">
            <v>Dihitung</v>
          </cell>
          <cell r="I60">
            <v>247.87</v>
          </cell>
          <cell r="J60" t="str">
            <v>Kg</v>
          </cell>
          <cell r="K60">
            <v>7500</v>
          </cell>
          <cell r="L60">
            <v>1859025</v>
          </cell>
        </row>
        <row r="61">
          <cell r="B61">
            <v>3</v>
          </cell>
          <cell r="D61" t="str">
            <v>Pas. Baut angker Dia. 12 mm Panjang 25 cm</v>
          </cell>
          <cell r="H61" t="str">
            <v>Dihitung</v>
          </cell>
          <cell r="I61">
            <v>72</v>
          </cell>
          <cell r="J61" t="str">
            <v>Buah</v>
          </cell>
          <cell r="K61">
            <v>7500</v>
          </cell>
          <cell r="L61">
            <v>540000</v>
          </cell>
        </row>
        <row r="62">
          <cell r="B62">
            <v>4</v>
          </cell>
          <cell r="D62" t="str">
            <v>Pas. Baut Dia. 8 mm Panjang 12,5 cm</v>
          </cell>
          <cell r="H62" t="str">
            <v>Dihitung</v>
          </cell>
          <cell r="I62">
            <v>90</v>
          </cell>
          <cell r="J62" t="str">
            <v>Buah</v>
          </cell>
          <cell r="K62">
            <v>5000</v>
          </cell>
          <cell r="L62">
            <v>450000</v>
          </cell>
        </row>
        <row r="63">
          <cell r="B63">
            <v>5</v>
          </cell>
          <cell r="D63" t="str">
            <v>Pas. Gording Kayu Kls.II  8/12 cm</v>
          </cell>
          <cell r="H63" t="str">
            <v>F.22(a)</v>
          </cell>
          <cell r="I63">
            <v>1.9970000000000001</v>
          </cell>
          <cell r="J63" t="str">
            <v>M3</v>
          </cell>
          <cell r="K63">
            <v>3481800</v>
          </cell>
          <cell r="L63">
            <v>6953154.5999999996</v>
          </cell>
        </row>
        <row r="64">
          <cell r="B64">
            <v>6</v>
          </cell>
          <cell r="D64" t="str">
            <v>Pas.Kaso dan reng Kayu Kelas II</v>
          </cell>
          <cell r="H64" t="str">
            <v>F.16</v>
          </cell>
          <cell r="I64">
            <v>210.6</v>
          </cell>
          <cell r="J64" t="str">
            <v>M2</v>
          </cell>
          <cell r="K64">
            <v>17602</v>
          </cell>
          <cell r="L64">
            <v>3706981.2</v>
          </cell>
        </row>
        <row r="65">
          <cell r="B65">
            <v>7</v>
          </cell>
          <cell r="D65" t="str">
            <v>Pas. Penutup Atap genteng Mantili</v>
          </cell>
          <cell r="H65" t="str">
            <v>H.2.1(c)</v>
          </cell>
          <cell r="I65">
            <v>210.6</v>
          </cell>
          <cell r="J65" t="str">
            <v>M2</v>
          </cell>
          <cell r="K65">
            <v>32340</v>
          </cell>
          <cell r="L65">
            <v>6810804</v>
          </cell>
        </row>
        <row r="66">
          <cell r="B66">
            <v>8</v>
          </cell>
          <cell r="D66" t="str">
            <v>Menutup bubungan / kerpus genteng mantili</v>
          </cell>
          <cell r="H66" t="str">
            <v>H.6+G.16(c)</v>
          </cell>
          <cell r="I66">
            <v>26</v>
          </cell>
          <cell r="J66" t="str">
            <v>M'</v>
          </cell>
          <cell r="K66">
            <v>31740</v>
          </cell>
          <cell r="L66">
            <v>825240</v>
          </cell>
        </row>
        <row r="67">
          <cell r="B67">
            <v>9</v>
          </cell>
          <cell r="D67" t="str">
            <v>Pas. Rangka Plafon (Kayu kls III)</v>
          </cell>
          <cell r="H67" t="str">
            <v>F.1.1</v>
          </cell>
          <cell r="I67">
            <v>2.73</v>
          </cell>
          <cell r="J67" t="str">
            <v>M3</v>
          </cell>
          <cell r="K67">
            <v>2685950</v>
          </cell>
          <cell r="L67">
            <v>7332643.5</v>
          </cell>
        </row>
        <row r="68">
          <cell r="B68">
            <v>10</v>
          </cell>
          <cell r="D68" t="str">
            <v>Pas. Plafon (Triplek 3 mm)</v>
          </cell>
          <cell r="H68" t="str">
            <v>D.12(a)</v>
          </cell>
          <cell r="I68">
            <v>195</v>
          </cell>
          <cell r="J68" t="str">
            <v>M2</v>
          </cell>
          <cell r="K68">
            <v>23115</v>
          </cell>
          <cell r="L68">
            <v>4507425</v>
          </cell>
        </row>
        <row r="69">
          <cell r="B69">
            <v>11</v>
          </cell>
          <cell r="D69" t="str">
            <v>Pas Lis profil siku 5 cm</v>
          </cell>
          <cell r="H69" t="str">
            <v>Supl.BMPK.15</v>
          </cell>
          <cell r="I69">
            <v>258.39999999999998</v>
          </cell>
          <cell r="J69" t="str">
            <v>M'</v>
          </cell>
          <cell r="K69">
            <v>24235</v>
          </cell>
          <cell r="L69">
            <v>6262324</v>
          </cell>
        </row>
        <row r="70">
          <cell r="B70">
            <v>12</v>
          </cell>
          <cell r="D70" t="str">
            <v>Pas. Listplank (Papan 3/25 Kayu kls II)</v>
          </cell>
          <cell r="H70" t="str">
            <v>F.21</v>
          </cell>
          <cell r="I70">
            <v>18.05</v>
          </cell>
          <cell r="J70" t="str">
            <v>M2</v>
          </cell>
          <cell r="K70">
            <v>93324</v>
          </cell>
          <cell r="L70">
            <v>1684498.2</v>
          </cell>
        </row>
        <row r="71">
          <cell r="D71" t="str">
            <v>SUB TOTAL  VI</v>
          </cell>
          <cell r="L71">
            <v>96657990.5</v>
          </cell>
        </row>
        <row r="72">
          <cell r="B72" t="str">
            <v>VII</v>
          </cell>
          <cell r="D72" t="str">
            <v>PEKERJAAN INSTALASI LISTRIK</v>
          </cell>
        </row>
        <row r="73">
          <cell r="B73">
            <v>1</v>
          </cell>
          <cell r="D73" t="str">
            <v>Instalasi Listrik</v>
          </cell>
          <cell r="H73" t="str">
            <v>Dihitung</v>
          </cell>
          <cell r="I73">
            <v>19</v>
          </cell>
          <cell r="J73" t="str">
            <v>Titik</v>
          </cell>
          <cell r="K73">
            <v>32500</v>
          </cell>
          <cell r="L73">
            <v>617500</v>
          </cell>
        </row>
        <row r="74">
          <cell r="B74">
            <v>2</v>
          </cell>
          <cell r="D74" t="str">
            <v>Stop Kontak kualitas baik</v>
          </cell>
          <cell r="H74" t="str">
            <v>Dihitung</v>
          </cell>
          <cell r="I74">
            <v>3</v>
          </cell>
          <cell r="J74" t="str">
            <v>Bh</v>
          </cell>
          <cell r="K74">
            <v>25000</v>
          </cell>
          <cell r="L74">
            <v>75000</v>
          </cell>
        </row>
        <row r="75">
          <cell r="B75">
            <v>3</v>
          </cell>
          <cell r="D75" t="str">
            <v>Sakelar Tunggal Kualitas baik</v>
          </cell>
          <cell r="H75" t="str">
            <v>Dihitung</v>
          </cell>
          <cell r="I75">
            <v>3</v>
          </cell>
          <cell r="J75" t="str">
            <v>Bh</v>
          </cell>
          <cell r="K75">
            <v>15000</v>
          </cell>
          <cell r="L75">
            <v>45000</v>
          </cell>
        </row>
        <row r="76">
          <cell r="B76">
            <v>4</v>
          </cell>
          <cell r="D76" t="str">
            <v>Sakelar Ganda Kualitas baik</v>
          </cell>
          <cell r="H76" t="str">
            <v>Dihitung</v>
          </cell>
          <cell r="I76">
            <v>5</v>
          </cell>
          <cell r="J76" t="str">
            <v>Bh</v>
          </cell>
          <cell r="K76">
            <v>20000</v>
          </cell>
          <cell r="L76">
            <v>100000</v>
          </cell>
        </row>
        <row r="77">
          <cell r="B77">
            <v>5</v>
          </cell>
          <cell r="D77" t="str">
            <v>Lampu TL = 1 x 20 Watt Lengkap</v>
          </cell>
          <cell r="H77" t="str">
            <v>Dihitung</v>
          </cell>
          <cell r="I77">
            <v>12</v>
          </cell>
          <cell r="J77" t="str">
            <v>Bh</v>
          </cell>
          <cell r="K77">
            <v>45000</v>
          </cell>
          <cell r="L77">
            <v>540000</v>
          </cell>
        </row>
        <row r="78">
          <cell r="B78">
            <v>6</v>
          </cell>
          <cell r="D78" t="str">
            <v>Lampu Pijar 25 Watt</v>
          </cell>
          <cell r="H78" t="str">
            <v>Dihitung</v>
          </cell>
          <cell r="I78">
            <v>7</v>
          </cell>
          <cell r="J78" t="str">
            <v>Bh</v>
          </cell>
          <cell r="K78">
            <v>5000</v>
          </cell>
          <cell r="L78">
            <v>35000</v>
          </cell>
        </row>
        <row r="79">
          <cell r="D79" t="str">
            <v>SUB TOTAL  VII</v>
          </cell>
          <cell r="L79">
            <v>1412500</v>
          </cell>
        </row>
        <row r="80">
          <cell r="B80" t="str">
            <v>VIII</v>
          </cell>
          <cell r="D80" t="str">
            <v>PEKERJAAN PENGECATAN</v>
          </cell>
        </row>
        <row r="81">
          <cell r="B81">
            <v>1</v>
          </cell>
          <cell r="D81" t="str">
            <v>Pengecatan Dinding &amp; Plafon</v>
          </cell>
          <cell r="H81" t="str">
            <v>G.53.1</v>
          </cell>
          <cell r="I81">
            <v>948.73</v>
          </cell>
          <cell r="J81" t="str">
            <v>M2</v>
          </cell>
          <cell r="K81">
            <v>7561</v>
          </cell>
          <cell r="L81">
            <v>7173347.5300000003</v>
          </cell>
        </row>
        <row r="82">
          <cell r="B82">
            <v>2</v>
          </cell>
          <cell r="D82" t="str">
            <v>Cat Kusen,Pintu,Jendela &amp; Listplank</v>
          </cell>
          <cell r="H82" t="str">
            <v>Supl.IX.1</v>
          </cell>
          <cell r="I82">
            <v>53.152000000000001</v>
          </cell>
          <cell r="J82" t="str">
            <v>M2</v>
          </cell>
          <cell r="K82">
            <v>14171.75</v>
          </cell>
          <cell r="L82">
            <v>753256.86</v>
          </cell>
        </row>
        <row r="83">
          <cell r="D83" t="str">
            <v>SUB TOTAL  VIII</v>
          </cell>
          <cell r="L83">
            <v>7926604.3900000006</v>
          </cell>
        </row>
        <row r="84">
          <cell r="B84" t="str">
            <v>A</v>
          </cell>
          <cell r="D84" t="str">
            <v>JUMLAH</v>
          </cell>
          <cell r="L84">
            <v>900000349</v>
          </cell>
        </row>
        <row r="85">
          <cell r="B85" t="str">
            <v>B</v>
          </cell>
          <cell r="D85" t="str">
            <v>PPN 10%</v>
          </cell>
          <cell r="L85">
            <v>90000034.900000006</v>
          </cell>
        </row>
        <row r="86">
          <cell r="B86" t="str">
            <v>C</v>
          </cell>
          <cell r="D86" t="str">
            <v>JUMLAH  (A+B)</v>
          </cell>
          <cell r="L86">
            <v>990000383.89999998</v>
          </cell>
        </row>
        <row r="87">
          <cell r="B87" t="str">
            <v>D</v>
          </cell>
          <cell r="D87" t="str">
            <v>JUMLAH DIBULATKAN</v>
          </cell>
          <cell r="L87">
            <v>990000000</v>
          </cell>
        </row>
        <row r="88">
          <cell r="N88" t="str">
            <v>REKAPITULASI RENCANA ANGGARAN BIAYA</v>
          </cell>
        </row>
        <row r="89">
          <cell r="N89" t="str">
            <v>OWNER'S ESTIMATE</v>
          </cell>
        </row>
        <row r="91">
          <cell r="N91" t="str">
            <v>Kode Paket</v>
          </cell>
          <cell r="O91" t="str">
            <v>:</v>
          </cell>
          <cell r="P91" t="str">
            <v>D.103</v>
          </cell>
        </row>
        <row r="92">
          <cell r="N92" t="str">
            <v>Propinsi</v>
          </cell>
          <cell r="O92" t="str">
            <v>:</v>
          </cell>
          <cell r="P92" t="str">
            <v>Lampung</v>
          </cell>
        </row>
        <row r="93">
          <cell r="N93" t="str">
            <v>Kota</v>
          </cell>
          <cell r="O93" t="str">
            <v>:</v>
          </cell>
          <cell r="P93" t="str">
            <v>Bandar Lampung</v>
          </cell>
        </row>
        <row r="94">
          <cell r="N94" t="str">
            <v>Kelurahan</v>
          </cell>
          <cell r="O94" t="str">
            <v>:</v>
          </cell>
          <cell r="P94" t="str">
            <v>Sukamaju</v>
          </cell>
        </row>
        <row r="95">
          <cell r="N95" t="str">
            <v>Kegiatan</v>
          </cell>
          <cell r="O95" t="str">
            <v>:</v>
          </cell>
          <cell r="P95" t="str">
            <v>Pembangunan Gedung Sekolah</v>
          </cell>
        </row>
        <row r="96">
          <cell r="N96" t="str">
            <v>Pekerjaan</v>
          </cell>
          <cell r="O96" t="str">
            <v>:</v>
          </cell>
          <cell r="P96" t="str">
            <v>Pembangunan SDN 1 Sukamaju (Bertingkat)</v>
          </cell>
        </row>
        <row r="97">
          <cell r="N97" t="str">
            <v>Tahun Anggaran</v>
          </cell>
          <cell r="O97" t="str">
            <v>:</v>
          </cell>
          <cell r="P97">
            <v>2006</v>
          </cell>
        </row>
        <row r="99">
          <cell r="N99" t="str">
            <v>NO.</v>
          </cell>
          <cell r="O99" t="str">
            <v>URAIAN  PEKERJAAN</v>
          </cell>
          <cell r="U99" t="str">
            <v>TOTAL</v>
          </cell>
        </row>
        <row r="100">
          <cell r="U100" t="str">
            <v>HARGA</v>
          </cell>
        </row>
        <row r="101">
          <cell r="U101" t="str">
            <v>(Rp)</v>
          </cell>
        </row>
        <row r="102">
          <cell r="N102" t="str">
            <v>I</v>
          </cell>
          <cell r="P102" t="str">
            <v>PEKERJAAN PERSIAPAN</v>
          </cell>
          <cell r="U102">
            <v>4400000</v>
          </cell>
        </row>
        <row r="103">
          <cell r="N103" t="str">
            <v>II</v>
          </cell>
          <cell r="P103" t="str">
            <v>PEKERJAAN TANAH</v>
          </cell>
          <cell r="U103">
            <v>73878460.739999995</v>
          </cell>
        </row>
        <row r="104">
          <cell r="N104" t="str">
            <v>III</v>
          </cell>
          <cell r="P104" t="str">
            <v>PEKERJAAN  PASANGAN</v>
          </cell>
          <cell r="U104">
            <v>210383656.31999996</v>
          </cell>
        </row>
        <row r="105">
          <cell r="N105" t="str">
            <v>IV</v>
          </cell>
          <cell r="P105" t="str">
            <v>PEKERJAAN BETON</v>
          </cell>
          <cell r="U105">
            <v>457227566.98000002</v>
          </cell>
        </row>
        <row r="106">
          <cell r="N106" t="str">
            <v>V</v>
          </cell>
          <cell r="P106" t="str">
            <v>PEKERJAAN KUSEN</v>
          </cell>
          <cell r="U106">
            <v>48113570.07</v>
          </cell>
        </row>
        <row r="107">
          <cell r="N107" t="str">
            <v>VI</v>
          </cell>
          <cell r="P107" t="str">
            <v>PEKERJAAN ATAP &amp; PLAFON</v>
          </cell>
          <cell r="U107">
            <v>96657990.5</v>
          </cell>
        </row>
        <row r="108">
          <cell r="N108" t="str">
            <v>VII</v>
          </cell>
          <cell r="P108" t="str">
            <v>PEKERJAAN INSTALASI LISTRIK</v>
          </cell>
          <cell r="U108">
            <v>1412500</v>
          </cell>
        </row>
        <row r="109">
          <cell r="N109" t="str">
            <v>VIII</v>
          </cell>
          <cell r="P109" t="str">
            <v>PEKERJAAN PENGECATAN</v>
          </cell>
          <cell r="U109">
            <v>7926604.3900000006</v>
          </cell>
        </row>
        <row r="110">
          <cell r="P110" t="str">
            <v>JUMLAH ( I  s/d.  VIII)</v>
          </cell>
          <cell r="U110">
            <v>900000349</v>
          </cell>
        </row>
        <row r="111">
          <cell r="P111" t="str">
            <v>PPN 10%</v>
          </cell>
          <cell r="U111">
            <v>90000034.900000006</v>
          </cell>
        </row>
        <row r="112">
          <cell r="P112" t="str">
            <v>TOTAL</v>
          </cell>
          <cell r="U112">
            <v>990000383.89999998</v>
          </cell>
        </row>
        <row r="113">
          <cell r="P113" t="str">
            <v>DIBULATKAN</v>
          </cell>
          <cell r="U113">
            <v>990000000</v>
          </cell>
        </row>
        <row r="115">
          <cell r="N115" t="str">
            <v>Terbilang</v>
          </cell>
          <cell r="O115" t="str">
            <v>:</v>
          </cell>
          <cell r="P115" t="str">
            <v>Sembilan Ratus Sembilan Puluh Juta Rupiah</v>
          </cell>
        </row>
        <row r="118">
          <cell r="R118" t="str">
            <v>Bandar Lampung,  ...................... 2006</v>
          </cell>
        </row>
        <row r="119">
          <cell r="N119" t="str">
            <v>MENGETAHUI :</v>
          </cell>
        </row>
        <row r="120">
          <cell r="N120" t="str">
            <v>PEJABAT PEMBUAT KOMITMEN/ PEMIMPIN KEGIATAN</v>
          </cell>
          <cell r="R120" t="str">
            <v>PANITIA PENGADAAN JASA KONSTRUKSI</v>
          </cell>
        </row>
        <row r="121">
          <cell r="R121" t="str">
            <v>Ketua</v>
          </cell>
        </row>
        <row r="126">
          <cell r="N126" t="str">
            <v>Hi.IBRAHIM, ST,MM</v>
          </cell>
          <cell r="R126" t="str">
            <v>FAISOL MUCHTAR,ST</v>
          </cell>
        </row>
        <row r="127">
          <cell r="N127" t="str">
            <v>NIP.460017324</v>
          </cell>
          <cell r="R127" t="str">
            <v>NIP. 460 021 411</v>
          </cell>
        </row>
      </sheetData>
      <sheetData sheetId="7"/>
      <sheetData sheetId="8"/>
      <sheetData sheetId="9"/>
      <sheetData sheetId="10"/>
      <sheetData sheetId="11"/>
      <sheetData sheetId="12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D.109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/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Penimbunan Areal Sekolah SMP Negeri 17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6">
          <cell r="B16" t="str">
            <v>I</v>
          </cell>
          <cell r="D16" t="str">
            <v>PEKERJAAN PERSIAPAN</v>
          </cell>
        </row>
        <row r="17">
          <cell r="B17">
            <v>1</v>
          </cell>
          <cell r="D17" t="str">
            <v>Pengukuran dan Pasang Bouplank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2</v>
          </cell>
          <cell r="D18" t="str">
            <v>Papan nama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3</v>
          </cell>
          <cell r="D19" t="str">
            <v>Penyediaan obat-obatan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200000</v>
          </cell>
          <cell r="L19">
            <v>200000</v>
          </cell>
        </row>
        <row r="20">
          <cell r="B20">
            <v>4</v>
          </cell>
          <cell r="D20" t="str">
            <v>Dokumentasi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200000</v>
          </cell>
          <cell r="L20">
            <v>200000</v>
          </cell>
        </row>
        <row r="21">
          <cell r="D21" t="str">
            <v>SUB TOTAL  I</v>
          </cell>
          <cell r="L21">
            <v>900000</v>
          </cell>
        </row>
        <row r="23">
          <cell r="B23" t="str">
            <v>II</v>
          </cell>
          <cell r="D23" t="str">
            <v>PEKERJAAN TANAH</v>
          </cell>
        </row>
        <row r="24">
          <cell r="B24">
            <v>1</v>
          </cell>
          <cell r="D24" t="str">
            <v>Urugan Tanah</v>
          </cell>
          <cell r="H24" t="str">
            <v>A.7.2</v>
          </cell>
          <cell r="I24">
            <v>1323.692</v>
          </cell>
          <cell r="J24" t="str">
            <v>M3</v>
          </cell>
          <cell r="K24">
            <v>123146</v>
          </cell>
          <cell r="L24">
            <v>163007375.03</v>
          </cell>
        </row>
        <row r="25">
          <cell r="D25" t="str">
            <v>SUB TOTAL  II</v>
          </cell>
          <cell r="L25">
            <v>163007375.03</v>
          </cell>
        </row>
        <row r="27">
          <cell r="B27" t="str">
            <v>III</v>
          </cell>
          <cell r="D27" t="str">
            <v>PEKERJAAN  PASANGAN</v>
          </cell>
        </row>
        <row r="28">
          <cell r="B28">
            <v>1</v>
          </cell>
          <cell r="D28" t="str">
            <v>Pasang pondasi batu belah hitam adk. 1 : 4</v>
          </cell>
          <cell r="H28" t="str">
            <v>G.32h+G.26(a)</v>
          </cell>
          <cell r="I28">
            <v>24.05</v>
          </cell>
          <cell r="J28" t="str">
            <v>M3</v>
          </cell>
          <cell r="K28">
            <v>527127.02</v>
          </cell>
          <cell r="L28">
            <v>12677404.83</v>
          </cell>
        </row>
        <row r="29">
          <cell r="B29">
            <v>3</v>
          </cell>
          <cell r="D29" t="str">
            <v>Pasang saluran sepanjang talud pas.batu bata 74 M</v>
          </cell>
          <cell r="H29" t="str">
            <v>G.81</v>
          </cell>
          <cell r="I29">
            <v>74</v>
          </cell>
          <cell r="J29" t="str">
            <v>M3</v>
          </cell>
          <cell r="K29">
            <v>70725.08</v>
          </cell>
          <cell r="L29">
            <v>5233655.92</v>
          </cell>
        </row>
        <row r="30">
          <cell r="D30" t="str">
            <v>SUB TOTAL  III</v>
          </cell>
          <cell r="L30">
            <v>17911060.75</v>
          </cell>
        </row>
        <row r="31">
          <cell r="B31" t="str">
            <v>A</v>
          </cell>
          <cell r="D31" t="str">
            <v>JUMLAH</v>
          </cell>
          <cell r="L31">
            <v>181818435.78</v>
          </cell>
        </row>
        <row r="32">
          <cell r="B32" t="str">
            <v>B</v>
          </cell>
          <cell r="D32" t="str">
            <v>PPN 10%</v>
          </cell>
          <cell r="L32">
            <v>18181843.579999998</v>
          </cell>
        </row>
        <row r="33">
          <cell r="B33" t="str">
            <v>C</v>
          </cell>
          <cell r="D33" t="str">
            <v>JUMLAH  (A+B)</v>
          </cell>
          <cell r="L33">
            <v>200000279.36000001</v>
          </cell>
        </row>
        <row r="34">
          <cell r="B34" t="str">
            <v>D</v>
          </cell>
          <cell r="D34" t="str">
            <v>JUMLAH DIBULATKAN</v>
          </cell>
          <cell r="L34">
            <v>200000000</v>
          </cell>
        </row>
        <row r="35">
          <cell r="N35" t="str">
            <v>REKAPITULASI RENCANA ANGGARAN BIAYA</v>
          </cell>
        </row>
        <row r="36">
          <cell r="N36" t="str">
            <v>RENCANA ANGGARAN BIAYA</v>
          </cell>
        </row>
        <row r="38">
          <cell r="N38" t="str">
            <v>Kode Paket</v>
          </cell>
          <cell r="O38" t="str">
            <v>:</v>
          </cell>
          <cell r="P38" t="str">
            <v>D.109</v>
          </cell>
        </row>
        <row r="39">
          <cell r="N39" t="str">
            <v>Propinsi</v>
          </cell>
          <cell r="O39" t="str">
            <v>:</v>
          </cell>
          <cell r="P39" t="str">
            <v>Lampung</v>
          </cell>
        </row>
        <row r="40">
          <cell r="N40" t="str">
            <v>Kota</v>
          </cell>
          <cell r="O40" t="str">
            <v>:</v>
          </cell>
          <cell r="P40" t="str">
            <v>Bandar Lampung</v>
          </cell>
        </row>
        <row r="41">
          <cell r="N41" t="str">
            <v>Kelurahan</v>
          </cell>
          <cell r="O41" t="str">
            <v>:</v>
          </cell>
          <cell r="P41" t="str">
            <v/>
          </cell>
        </row>
        <row r="42">
          <cell r="N42" t="str">
            <v>Kegiatan</v>
          </cell>
          <cell r="O42" t="str">
            <v>:</v>
          </cell>
          <cell r="P42" t="str">
            <v>Pembangunan Sekolah</v>
          </cell>
        </row>
        <row r="43">
          <cell r="N43" t="str">
            <v>Pekerjaan</v>
          </cell>
          <cell r="O43" t="str">
            <v>:</v>
          </cell>
          <cell r="P43" t="str">
            <v>Penimbunan Areal Sekolah SMP Negeri 17 Bandar Lampung</v>
          </cell>
        </row>
        <row r="44">
          <cell r="N44" t="str">
            <v>Tahun Anggaran</v>
          </cell>
          <cell r="O44" t="str">
            <v>:</v>
          </cell>
          <cell r="P44">
            <v>2006</v>
          </cell>
        </row>
        <row r="46">
          <cell r="N46" t="str">
            <v>NO.</v>
          </cell>
          <cell r="O46" t="str">
            <v>URAIAN  PEKERJAAN</v>
          </cell>
          <cell r="U46" t="str">
            <v>TOTAL</v>
          </cell>
        </row>
        <row r="47">
          <cell r="U47" t="str">
            <v>HARGA</v>
          </cell>
        </row>
        <row r="48">
          <cell r="U48" t="str">
            <v>(Rp)</v>
          </cell>
        </row>
        <row r="49">
          <cell r="N49" t="str">
            <v>I</v>
          </cell>
          <cell r="P49" t="str">
            <v>PEKERJAAN PERSIAPAN</v>
          </cell>
          <cell r="U49">
            <v>900000</v>
          </cell>
        </row>
        <row r="50">
          <cell r="N50" t="str">
            <v>II</v>
          </cell>
          <cell r="P50" t="str">
            <v>PEKERJAAN TANAH</v>
          </cell>
          <cell r="U50">
            <v>163007375.03</v>
          </cell>
        </row>
        <row r="51">
          <cell r="N51" t="str">
            <v>III</v>
          </cell>
          <cell r="P51" t="str">
            <v>PEKERJAAN  PASANGAN</v>
          </cell>
          <cell r="U51">
            <v>17911060.75</v>
          </cell>
        </row>
        <row r="52">
          <cell r="P52" t="str">
            <v>JUMLAH ( I  s/d.  III)</v>
          </cell>
          <cell r="U52">
            <v>181818435.78</v>
          </cell>
        </row>
        <row r="53">
          <cell r="P53" t="str">
            <v>PPN 10%</v>
          </cell>
          <cell r="U53">
            <v>18181843.578000002</v>
          </cell>
        </row>
        <row r="54">
          <cell r="P54" t="str">
            <v>TOTAL</v>
          </cell>
          <cell r="U54">
            <v>200000279.35800001</v>
          </cell>
        </row>
        <row r="55">
          <cell r="P55" t="str">
            <v>DIBULATKAN</v>
          </cell>
          <cell r="U55">
            <v>200000000</v>
          </cell>
        </row>
        <row r="57">
          <cell r="N57" t="str">
            <v>Terbilang</v>
          </cell>
          <cell r="O57" t="str">
            <v>:</v>
          </cell>
          <cell r="P57" t="str">
            <v>Dua Ratus Juta Rupiah</v>
          </cell>
        </row>
        <row r="60">
          <cell r="R60" t="str">
            <v>Bandar Lampung,  ...................... 2006</v>
          </cell>
        </row>
        <row r="61">
          <cell r="N61" t="str">
            <v>MENGETAHUI :</v>
          </cell>
        </row>
        <row r="62">
          <cell r="N62" t="str">
            <v>PEJABAT PEMBUAT KOMITMEN/ PEMIMPIN KEGIATAN</v>
          </cell>
          <cell r="R62" t="str">
            <v>PANITIA PENGADAAN JASA KONSTRUKSI</v>
          </cell>
        </row>
        <row r="63">
          <cell r="R63" t="str">
            <v>Ketua</v>
          </cell>
        </row>
        <row r="68">
          <cell r="N68" t="str">
            <v>Hi.IBRAHIM, ST,MM</v>
          </cell>
          <cell r="R68" t="str">
            <v>FAISOL MUCHTAR,ST</v>
          </cell>
        </row>
        <row r="69">
          <cell r="N69" t="str">
            <v>NIP.460017324</v>
          </cell>
          <cell r="R69" t="str">
            <v>NIP. 460 021 411</v>
          </cell>
        </row>
      </sheetData>
      <sheetData sheetId="13"/>
      <sheetData sheetId="14"/>
      <sheetData sheetId="15"/>
      <sheetData sheetId="16"/>
      <sheetData sheetId="17"/>
      <sheetData sheetId="18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D.115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>Kelurahan Segala Mider</v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RKB, WC Guru dan Murid SMA Negeri 9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350000</v>
          </cell>
          <cell r="L16">
            <v>350000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250000</v>
          </cell>
          <cell r="L19">
            <v>250000</v>
          </cell>
        </row>
        <row r="20">
          <cell r="B20">
            <v>5</v>
          </cell>
          <cell r="D20" t="str">
            <v>Dokumentasi Foto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500000</v>
          </cell>
          <cell r="L20">
            <v>500000</v>
          </cell>
        </row>
        <row r="21">
          <cell r="D21" t="str">
            <v>SUB TOTAL  I</v>
          </cell>
          <cell r="L21">
            <v>1600000</v>
          </cell>
        </row>
        <row r="22">
          <cell r="B22" t="str">
            <v>II</v>
          </cell>
          <cell r="D22" t="str">
            <v>PEKERJAAN TANAH</v>
          </cell>
        </row>
        <row r="23">
          <cell r="B23">
            <v>1</v>
          </cell>
          <cell r="D23" t="str">
            <v>Galian Tanah Pondasi</v>
          </cell>
          <cell r="H23" t="str">
            <v>A.1</v>
          </cell>
          <cell r="I23">
            <v>162.81</v>
          </cell>
          <cell r="J23" t="str">
            <v>M3</v>
          </cell>
          <cell r="K23">
            <v>19775</v>
          </cell>
          <cell r="L23">
            <v>3219567.75</v>
          </cell>
        </row>
        <row r="24">
          <cell r="B24">
            <v>2</v>
          </cell>
          <cell r="D24" t="str">
            <v>Urugan Tanah</v>
          </cell>
          <cell r="H24" t="str">
            <v>A.17</v>
          </cell>
          <cell r="I24">
            <v>80.819999999999993</v>
          </cell>
          <cell r="J24" t="str">
            <v>M3</v>
          </cell>
          <cell r="K24">
            <v>6660</v>
          </cell>
          <cell r="L24">
            <v>538261.19999999995</v>
          </cell>
        </row>
        <row r="25">
          <cell r="B25">
            <v>3</v>
          </cell>
          <cell r="D25" t="str">
            <v>Urugan Pasir Bawah Pondasi</v>
          </cell>
          <cell r="H25" t="str">
            <v>A.18</v>
          </cell>
          <cell r="I25">
            <v>18.09</v>
          </cell>
          <cell r="J25" t="str">
            <v>M3</v>
          </cell>
          <cell r="K25">
            <v>146691.20000000001</v>
          </cell>
          <cell r="L25">
            <v>2653643.81</v>
          </cell>
        </row>
        <row r="26">
          <cell r="B26">
            <v>4</v>
          </cell>
          <cell r="D26" t="str">
            <v>Urugan Pasir Bawah Lantai</v>
          </cell>
          <cell r="H26" t="str">
            <v>A.18</v>
          </cell>
          <cell r="I26">
            <v>13.275</v>
          </cell>
          <cell r="J26" t="str">
            <v>M3</v>
          </cell>
          <cell r="K26">
            <v>146691.20000000001</v>
          </cell>
          <cell r="L26">
            <v>1947325.68</v>
          </cell>
        </row>
        <row r="27">
          <cell r="D27" t="str">
            <v>SUB TOTAL  II</v>
          </cell>
          <cell r="L27">
            <v>8358798.4399999995</v>
          </cell>
        </row>
        <row r="28">
          <cell r="B28" t="str">
            <v>III</v>
          </cell>
          <cell r="D28" t="str">
            <v>PEKERJAAN  PASANGAN</v>
          </cell>
        </row>
        <row r="29">
          <cell r="B29">
            <v>1</v>
          </cell>
          <cell r="D29" t="str">
            <v>Pas. Batu Belah Hitam</v>
          </cell>
          <cell r="H29" t="str">
            <v>G.32h+G.26(a)</v>
          </cell>
          <cell r="I29">
            <v>61.844999999999999</v>
          </cell>
          <cell r="J29" t="str">
            <v>M3</v>
          </cell>
          <cell r="K29">
            <v>527127.02</v>
          </cell>
          <cell r="L29">
            <v>32600170.550000001</v>
          </cell>
        </row>
        <row r="30">
          <cell r="B30">
            <v>2</v>
          </cell>
          <cell r="D30" t="str">
            <v>Pas. Dinding Bata adukan 1 : 4</v>
          </cell>
          <cell r="H30" t="str">
            <v>G.33h+G.32a</v>
          </cell>
          <cell r="I30">
            <v>44.115000000000002</v>
          </cell>
          <cell r="J30" t="str">
            <v>M3</v>
          </cell>
          <cell r="K30">
            <v>383258.81</v>
          </cell>
          <cell r="L30">
            <v>16907462.399999999</v>
          </cell>
        </row>
        <row r="31">
          <cell r="B31">
            <v>4</v>
          </cell>
          <cell r="D31" t="str">
            <v>Pas. Plesteran adukan 1 : 4</v>
          </cell>
          <cell r="H31" t="str">
            <v>G.50q+G.48</v>
          </cell>
          <cell r="I31">
            <v>1041.9000000000001</v>
          </cell>
          <cell r="J31" t="str">
            <v>M2</v>
          </cell>
          <cell r="K31">
            <v>19133.61</v>
          </cell>
          <cell r="L31">
            <v>19935308.260000002</v>
          </cell>
        </row>
        <row r="32">
          <cell r="B32">
            <v>5</v>
          </cell>
          <cell r="D32" t="str">
            <v>Pas. Lantai floor adukan 1 : 3</v>
          </cell>
          <cell r="H32" t="str">
            <v>G.51i</v>
          </cell>
          <cell r="I32">
            <v>265.5</v>
          </cell>
          <cell r="J32" t="str">
            <v>M2</v>
          </cell>
          <cell r="K32">
            <v>27805.629999999997</v>
          </cell>
          <cell r="L32">
            <v>7382394.7699999996</v>
          </cell>
        </row>
        <row r="33">
          <cell r="B33">
            <v>6</v>
          </cell>
          <cell r="D33" t="str">
            <v>Pas. Saluran Air Keliling Bangunan</v>
          </cell>
          <cell r="H33" t="str">
            <v>G.81</v>
          </cell>
          <cell r="I33">
            <v>85</v>
          </cell>
          <cell r="J33" t="str">
            <v>M'</v>
          </cell>
          <cell r="K33">
            <v>70725.08</v>
          </cell>
          <cell r="L33">
            <v>6011631.7999999998</v>
          </cell>
        </row>
        <row r="34">
          <cell r="B34">
            <v>7</v>
          </cell>
          <cell r="D34" t="str">
            <v>Pas. Rabat beton tak bertulang</v>
          </cell>
          <cell r="H34" t="str">
            <v>G.41</v>
          </cell>
          <cell r="I34">
            <v>8.5</v>
          </cell>
          <cell r="J34" t="str">
            <v>M3</v>
          </cell>
          <cell r="K34">
            <v>701589.14</v>
          </cell>
          <cell r="L34">
            <v>5963507.6900000004</v>
          </cell>
        </row>
        <row r="35">
          <cell r="B35">
            <v>8</v>
          </cell>
          <cell r="D35" t="str">
            <v>Pas. Keramik Lantai 30/30</v>
          </cell>
          <cell r="H35" t="str">
            <v>Supl.III(d)</v>
          </cell>
          <cell r="I35">
            <v>248</v>
          </cell>
          <cell r="J35" t="str">
            <v>M2</v>
          </cell>
          <cell r="K35">
            <v>64891.59</v>
          </cell>
          <cell r="L35">
            <v>16093114.32</v>
          </cell>
        </row>
        <row r="36">
          <cell r="B36">
            <v>9</v>
          </cell>
          <cell r="D36" t="str">
            <v>Pas. Keramik Lantai KM 20/20</v>
          </cell>
          <cell r="H36" t="str">
            <v>Supl.IV(c)</v>
          </cell>
          <cell r="I36">
            <v>17.5</v>
          </cell>
          <cell r="J36" t="str">
            <v>M2</v>
          </cell>
          <cell r="K36">
            <v>88741.59</v>
          </cell>
          <cell r="L36">
            <v>1552977.83</v>
          </cell>
        </row>
        <row r="37">
          <cell r="B37">
            <v>10</v>
          </cell>
          <cell r="D37" t="str">
            <v>Pas. Keramik Dinding KM 20/20</v>
          </cell>
          <cell r="H37" t="str">
            <v>Supl.IV(c)</v>
          </cell>
          <cell r="I37">
            <v>24.48</v>
          </cell>
          <cell r="J37" t="str">
            <v>M2</v>
          </cell>
          <cell r="K37">
            <v>88741.59</v>
          </cell>
          <cell r="L37">
            <v>2172394.12</v>
          </cell>
        </row>
        <row r="38">
          <cell r="D38" t="str">
            <v>SUB TOTAL  III</v>
          </cell>
          <cell r="L38">
            <v>108618961.73999999</v>
          </cell>
        </row>
        <row r="39">
          <cell r="B39" t="str">
            <v>IV</v>
          </cell>
          <cell r="D39" t="str">
            <v>PEKERJAAN BETON</v>
          </cell>
        </row>
        <row r="40">
          <cell r="B40">
            <v>1</v>
          </cell>
          <cell r="D40" t="str">
            <v>Cor Beton Sloof 15/20 (1:2:3)</v>
          </cell>
          <cell r="H40" t="str">
            <v>G.41+3/4 I.2(b)+1/2 F.8</v>
          </cell>
          <cell r="I40">
            <v>5.58</v>
          </cell>
          <cell r="J40" t="str">
            <v>M3</v>
          </cell>
          <cell r="K40">
            <v>2846717.78</v>
          </cell>
          <cell r="L40">
            <v>15884685.210000001</v>
          </cell>
        </row>
        <row r="41">
          <cell r="B41">
            <v>2</v>
          </cell>
          <cell r="D41" t="str">
            <v>Cor Beton Kolom 20/20 (1:2:3)</v>
          </cell>
          <cell r="H41" t="str">
            <v>G.41+3/4 I.2(b)+1/2 F.8</v>
          </cell>
          <cell r="I41">
            <v>3.36768</v>
          </cell>
          <cell r="J41" t="str">
            <v>M3</v>
          </cell>
          <cell r="K41">
            <v>2846717.78</v>
          </cell>
          <cell r="L41">
            <v>9586834.5299999993</v>
          </cell>
        </row>
        <row r="42">
          <cell r="B42">
            <v>3</v>
          </cell>
          <cell r="D42" t="str">
            <v>Cor Beton Ringbalk 15/20 (1:2:3)</v>
          </cell>
          <cell r="H42" t="str">
            <v>G.41+3/4 I.2(b)+1/2 F.8</v>
          </cell>
          <cell r="I42">
            <v>5.58</v>
          </cell>
          <cell r="J42" t="str">
            <v>M3</v>
          </cell>
          <cell r="K42">
            <v>2846717.78</v>
          </cell>
          <cell r="L42">
            <v>15884685.210000001</v>
          </cell>
        </row>
        <row r="43">
          <cell r="D43" t="str">
            <v>SUB TOTAL  IV</v>
          </cell>
          <cell r="L43">
            <v>41356204.950000003</v>
          </cell>
        </row>
        <row r="44">
          <cell r="B44" t="str">
            <v>V</v>
          </cell>
          <cell r="D44" t="str">
            <v>PEKERJAAN KUSEN</v>
          </cell>
        </row>
        <row r="45">
          <cell r="B45">
            <v>1</v>
          </cell>
          <cell r="D45" t="str">
            <v>Pas. Kusen Pintu &amp; Jendela (Kayu kls II)</v>
          </cell>
          <cell r="H45" t="str">
            <v>F.27(b)</v>
          </cell>
          <cell r="I45">
            <v>2.8260000000000001</v>
          </cell>
          <cell r="J45" t="str">
            <v>M3</v>
          </cell>
          <cell r="K45">
            <v>3180138</v>
          </cell>
          <cell r="L45">
            <v>8987069.9900000002</v>
          </cell>
        </row>
        <row r="46">
          <cell r="B46">
            <v>2</v>
          </cell>
          <cell r="D46" t="str">
            <v>Pas. Daun Pintu Panel Kayu Kelas II</v>
          </cell>
          <cell r="H46" t="str">
            <v>F.33.2(b)</v>
          </cell>
          <cell r="I46">
            <v>13.6</v>
          </cell>
          <cell r="J46" t="str">
            <v>M2</v>
          </cell>
          <cell r="K46">
            <v>473575</v>
          </cell>
          <cell r="L46">
            <v>6440620</v>
          </cell>
        </row>
        <row r="47">
          <cell r="B47">
            <v>3</v>
          </cell>
          <cell r="D47" t="str">
            <v>Pas. Rangka Pintu Lapis Triplek Kayu Kelas II</v>
          </cell>
          <cell r="H47" t="str">
            <v>F.33.1(g)</v>
          </cell>
          <cell r="I47">
            <v>11.2</v>
          </cell>
          <cell r="J47" t="str">
            <v>M2</v>
          </cell>
          <cell r="K47">
            <v>379593</v>
          </cell>
          <cell r="L47">
            <v>4251441.5999999996</v>
          </cell>
        </row>
        <row r="48">
          <cell r="B48">
            <v>4</v>
          </cell>
          <cell r="D48" t="str">
            <v>Pas. Daun Jendela (Kaca Polos 5 mm) Kayu Kelas II</v>
          </cell>
          <cell r="H48" t="str">
            <v>F.36(d)</v>
          </cell>
          <cell r="I48">
            <v>22.5</v>
          </cell>
          <cell r="J48" t="str">
            <v>M2</v>
          </cell>
          <cell r="K48">
            <v>435778</v>
          </cell>
          <cell r="L48">
            <v>9805005</v>
          </cell>
        </row>
        <row r="49">
          <cell r="B49">
            <v>5</v>
          </cell>
          <cell r="D49" t="str">
            <v>Pas. Jalusi Kayu Kelas II</v>
          </cell>
          <cell r="H49" t="str">
            <v>F.31(a)</v>
          </cell>
          <cell r="I49">
            <v>26.4</v>
          </cell>
          <cell r="J49" t="str">
            <v>M2</v>
          </cell>
          <cell r="K49">
            <v>184030.5</v>
          </cell>
          <cell r="L49">
            <v>4858405.2</v>
          </cell>
        </row>
        <row r="50">
          <cell r="B50">
            <v>6</v>
          </cell>
          <cell r="D50" t="str">
            <v>Pas. Engsel Pintu</v>
          </cell>
          <cell r="H50" t="str">
            <v>Supl.BMPK.2(a)</v>
          </cell>
          <cell r="I50">
            <v>40</v>
          </cell>
          <cell r="J50" t="str">
            <v>Bh</v>
          </cell>
          <cell r="K50">
            <v>8266</v>
          </cell>
          <cell r="L50">
            <v>330640</v>
          </cell>
        </row>
        <row r="51">
          <cell r="B51">
            <v>7</v>
          </cell>
          <cell r="D51" t="str">
            <v>Pas. Engsel Jendela</v>
          </cell>
          <cell r="H51" t="str">
            <v>Supl.BMPK.2(b)</v>
          </cell>
          <cell r="I51">
            <v>90</v>
          </cell>
          <cell r="J51" t="str">
            <v>Bh</v>
          </cell>
          <cell r="K51">
            <v>7066</v>
          </cell>
          <cell r="L51">
            <v>635940</v>
          </cell>
        </row>
        <row r="52">
          <cell r="B52">
            <v>8</v>
          </cell>
          <cell r="D52" t="str">
            <v>Pas. Grendel Jendela</v>
          </cell>
          <cell r="H52" t="str">
            <v>Supl.BMPK.5(a)</v>
          </cell>
          <cell r="I52">
            <v>45</v>
          </cell>
          <cell r="J52" t="str">
            <v>Bh</v>
          </cell>
          <cell r="K52">
            <v>6566</v>
          </cell>
          <cell r="L52">
            <v>295470</v>
          </cell>
        </row>
        <row r="53">
          <cell r="B53">
            <v>9</v>
          </cell>
          <cell r="D53" t="str">
            <v>Pas. Tarikan Jendela</v>
          </cell>
          <cell r="H53" t="str">
            <v>Supl.BMPK.3(b)</v>
          </cell>
          <cell r="I53">
            <v>45</v>
          </cell>
          <cell r="J53" t="str">
            <v>Bh</v>
          </cell>
          <cell r="K53">
            <v>9066</v>
          </cell>
          <cell r="L53">
            <v>407970</v>
          </cell>
        </row>
        <row r="54">
          <cell r="B54">
            <v>10</v>
          </cell>
          <cell r="D54" t="str">
            <v>Pas. Hak Angin</v>
          </cell>
          <cell r="H54" t="str">
            <v>Supl.BMPK.4</v>
          </cell>
          <cell r="I54">
            <v>90</v>
          </cell>
          <cell r="J54" t="str">
            <v>Bh</v>
          </cell>
          <cell r="K54">
            <v>4066</v>
          </cell>
          <cell r="L54">
            <v>365940</v>
          </cell>
        </row>
        <row r="55">
          <cell r="B55">
            <v>11</v>
          </cell>
          <cell r="D55" t="str">
            <v>Pas. Kunci Tanam 2 x Putar</v>
          </cell>
          <cell r="H55" t="str">
            <v>Supl.BMPK.1(b)</v>
          </cell>
          <cell r="I55">
            <v>13</v>
          </cell>
          <cell r="J55" t="str">
            <v>Bh</v>
          </cell>
          <cell r="K55">
            <v>79000</v>
          </cell>
          <cell r="L55">
            <v>1027000</v>
          </cell>
        </row>
        <row r="56">
          <cell r="D56" t="str">
            <v>SUB TOTAL  V</v>
          </cell>
          <cell r="L56">
            <v>37405501.789999999</v>
          </cell>
        </row>
        <row r="57">
          <cell r="B57" t="str">
            <v>VI</v>
          </cell>
          <cell r="D57" t="str">
            <v>PEKERJAAN ATAP &amp; PLAFON</v>
          </cell>
        </row>
        <row r="58">
          <cell r="B58">
            <v>1</v>
          </cell>
          <cell r="D58" t="str">
            <v>Pas. Kuda-Kuda Rangka Baja L.60.60.6, Plat simpul 8 mm</v>
          </cell>
          <cell r="H58" t="str">
            <v>F.22a</v>
          </cell>
          <cell r="I58">
            <v>2205.2860000000001</v>
          </cell>
          <cell r="J58" t="str">
            <v>Kg</v>
          </cell>
          <cell r="K58">
            <v>43250</v>
          </cell>
          <cell r="L58">
            <v>95378619.5</v>
          </cell>
        </row>
        <row r="59">
          <cell r="B59">
            <v>2</v>
          </cell>
          <cell r="D59" t="str">
            <v>Pas. Tracksteng Dia 10 mm</v>
          </cell>
          <cell r="H59" t="str">
            <v>Dihitung</v>
          </cell>
          <cell r="I59">
            <v>217.57499999999999</v>
          </cell>
          <cell r="J59" t="str">
            <v>Kg</v>
          </cell>
          <cell r="K59">
            <v>7500</v>
          </cell>
          <cell r="L59">
            <v>1631812.5</v>
          </cell>
        </row>
        <row r="60">
          <cell r="B60">
            <v>3</v>
          </cell>
          <cell r="D60" t="str">
            <v>Pas. Baut angker Dia. 12 mm Panjang 25 cm</v>
          </cell>
          <cell r="H60" t="str">
            <v>Dihitung</v>
          </cell>
          <cell r="I60">
            <v>80</v>
          </cell>
          <cell r="J60" t="str">
            <v>Buah</v>
          </cell>
          <cell r="K60">
            <v>7500</v>
          </cell>
          <cell r="L60">
            <v>600000</v>
          </cell>
        </row>
        <row r="61">
          <cell r="B61">
            <v>4</v>
          </cell>
          <cell r="D61" t="str">
            <v>Pas. Baut Dia. 8 mm Panjang 12,5 cm</v>
          </cell>
          <cell r="H61" t="str">
            <v>Dihitung</v>
          </cell>
          <cell r="I61">
            <v>72</v>
          </cell>
          <cell r="J61" t="str">
            <v>Buah</v>
          </cell>
          <cell r="K61">
            <v>1500</v>
          </cell>
          <cell r="L61">
            <v>108000</v>
          </cell>
        </row>
        <row r="62">
          <cell r="B62">
            <v>5</v>
          </cell>
          <cell r="D62" t="str">
            <v>Pas. Gording Kayu Kls.II  8/12 cm</v>
          </cell>
          <cell r="H62" t="str">
            <v>F.22(a)</v>
          </cell>
          <cell r="I62">
            <v>1.768</v>
          </cell>
          <cell r="J62" t="str">
            <v>M3</v>
          </cell>
          <cell r="K62">
            <v>3481800</v>
          </cell>
          <cell r="L62">
            <v>6155822.4000000004</v>
          </cell>
        </row>
        <row r="63">
          <cell r="B63">
            <v>6</v>
          </cell>
          <cell r="D63" t="str">
            <v>Pas. Kaso dan Reng Kayu Kelas II</v>
          </cell>
          <cell r="H63" t="str">
            <v>F.16</v>
          </cell>
          <cell r="I63">
            <v>289.93</v>
          </cell>
          <cell r="J63" t="str">
            <v>M2</v>
          </cell>
          <cell r="K63">
            <v>17602</v>
          </cell>
          <cell r="L63">
            <v>5103347.8600000003</v>
          </cell>
        </row>
        <row r="64">
          <cell r="B64">
            <v>7</v>
          </cell>
          <cell r="D64" t="str">
            <v>Pas. Penutup Atap Genteng Plentong Mantili</v>
          </cell>
          <cell r="H64" t="str">
            <v>H.2(c)</v>
          </cell>
          <cell r="I64">
            <v>289.93</v>
          </cell>
          <cell r="J64" t="str">
            <v>M2</v>
          </cell>
          <cell r="K64">
            <v>22120</v>
          </cell>
          <cell r="L64">
            <v>6413251.5999999996</v>
          </cell>
        </row>
        <row r="65">
          <cell r="B65">
            <v>8</v>
          </cell>
          <cell r="D65" t="str">
            <v>Menutup bubungan Genteng Plentong Mantili</v>
          </cell>
          <cell r="H65" t="str">
            <v>H.6+G.16(c)</v>
          </cell>
          <cell r="I65">
            <v>41.6</v>
          </cell>
          <cell r="J65" t="str">
            <v>M'</v>
          </cell>
          <cell r="K65">
            <v>31740</v>
          </cell>
          <cell r="L65">
            <v>1320384</v>
          </cell>
        </row>
        <row r="66">
          <cell r="B66">
            <v>9</v>
          </cell>
          <cell r="D66" t="str">
            <v>Pas. Rangka Plafon (Kayu Kelas III)</v>
          </cell>
          <cell r="H66" t="str">
            <v>F.1.1</v>
          </cell>
          <cell r="I66">
            <v>4.8499999999999996</v>
          </cell>
          <cell r="J66" t="str">
            <v>M3</v>
          </cell>
          <cell r="K66">
            <v>2685950</v>
          </cell>
          <cell r="L66">
            <v>13026857.5</v>
          </cell>
        </row>
        <row r="67">
          <cell r="B67">
            <v>10</v>
          </cell>
          <cell r="D67" t="str">
            <v>Pas. Plafon (triplek 3 mm )</v>
          </cell>
          <cell r="H67" t="str">
            <v>D.12(a)</v>
          </cell>
          <cell r="I67">
            <v>346.5</v>
          </cell>
          <cell r="J67" t="str">
            <v>M2</v>
          </cell>
          <cell r="K67">
            <v>23115</v>
          </cell>
          <cell r="L67">
            <v>8009347.5</v>
          </cell>
        </row>
        <row r="68">
          <cell r="B68">
            <v>11</v>
          </cell>
          <cell r="D68" t="str">
            <v>Pas. Lis Profil siku 5 cm</v>
          </cell>
          <cell r="H68" t="str">
            <v>Supl.BMPK.15</v>
          </cell>
          <cell r="I68">
            <v>227</v>
          </cell>
          <cell r="J68" t="str">
            <v>M'</v>
          </cell>
          <cell r="K68">
            <v>24235</v>
          </cell>
          <cell r="L68">
            <v>5501345</v>
          </cell>
        </row>
        <row r="69">
          <cell r="B69">
            <v>12</v>
          </cell>
          <cell r="D69" t="str">
            <v>Pas. Lisplank ( Papan 3/25 Kayu Kelas II)</v>
          </cell>
          <cell r="H69" t="str">
            <v>F.21</v>
          </cell>
          <cell r="I69">
            <v>21.25</v>
          </cell>
          <cell r="J69" t="str">
            <v>M2</v>
          </cell>
          <cell r="K69">
            <v>93324</v>
          </cell>
          <cell r="L69">
            <v>1983135</v>
          </cell>
        </row>
        <row r="70">
          <cell r="D70" t="str">
            <v>SUB TOTAL  VI</v>
          </cell>
          <cell r="L70">
            <v>145231922.86000001</v>
          </cell>
        </row>
        <row r="71">
          <cell r="B71" t="str">
            <v>VII</v>
          </cell>
          <cell r="D71" t="str">
            <v>PEKERJAAN INSTALASI AIR</v>
          </cell>
        </row>
        <row r="72">
          <cell r="B72">
            <v>1</v>
          </cell>
          <cell r="D72" t="str">
            <v>Pas. Pipa Saluran air Kotor PVC 4" (Wavin AW)</v>
          </cell>
          <cell r="H72" t="str">
            <v>H.18.2</v>
          </cell>
          <cell r="I72">
            <v>16</v>
          </cell>
          <cell r="J72" t="str">
            <v>M'</v>
          </cell>
          <cell r="K72">
            <v>84763.5</v>
          </cell>
          <cell r="L72">
            <v>1356216</v>
          </cell>
        </row>
        <row r="73">
          <cell r="B73">
            <v>2</v>
          </cell>
          <cell r="D73" t="str">
            <v>Pas. Pipa Saluran air Bersih PVC 3/4" (Wavin AW)</v>
          </cell>
          <cell r="H73" t="str">
            <v>Supl.BMPK.12</v>
          </cell>
          <cell r="I73">
            <v>4</v>
          </cell>
          <cell r="J73" t="str">
            <v>Unit</v>
          </cell>
          <cell r="K73">
            <v>120050</v>
          </cell>
          <cell r="L73">
            <v>480200</v>
          </cell>
        </row>
        <row r="74">
          <cell r="B74">
            <v>3</v>
          </cell>
          <cell r="D74" t="str">
            <v>Pas. Bak KM Fiber 60 x 60 cm</v>
          </cell>
          <cell r="H74" t="str">
            <v>Supl.BMPK.9</v>
          </cell>
          <cell r="I74">
            <v>1</v>
          </cell>
          <cell r="J74" t="str">
            <v>Unit</v>
          </cell>
          <cell r="K74">
            <v>292743.81</v>
          </cell>
          <cell r="L74">
            <v>292743.81</v>
          </cell>
        </row>
        <row r="75">
          <cell r="B75">
            <v>4</v>
          </cell>
          <cell r="D75" t="str">
            <v>Pas. Kloset Jongkok Keramik</v>
          </cell>
          <cell r="H75" t="str">
            <v>Supl.BMPK.6(b)</v>
          </cell>
          <cell r="I75">
            <v>4</v>
          </cell>
          <cell r="J75" t="str">
            <v>Unit</v>
          </cell>
          <cell r="K75">
            <v>170672.34</v>
          </cell>
          <cell r="L75">
            <v>682689.36</v>
          </cell>
        </row>
        <row r="76">
          <cell r="B76">
            <v>5</v>
          </cell>
          <cell r="D76" t="str">
            <v>Pas. Septick Tank + Peresapan</v>
          </cell>
          <cell r="H76" t="str">
            <v>Supl.BMPK.8</v>
          </cell>
          <cell r="I76">
            <v>1</v>
          </cell>
          <cell r="J76" t="str">
            <v>Unit</v>
          </cell>
          <cell r="K76">
            <v>4775357.43</v>
          </cell>
          <cell r="L76">
            <v>4775357.43</v>
          </cell>
        </row>
        <row r="77">
          <cell r="D77" t="str">
            <v>SUB TOTAL  VII</v>
          </cell>
          <cell r="L77">
            <v>7587206.5999999996</v>
          </cell>
        </row>
        <row r="78">
          <cell r="B78" t="str">
            <v>VIII</v>
          </cell>
          <cell r="D78" t="str">
            <v>PEKERJAAN INSTALASI LISTRIK</v>
          </cell>
        </row>
        <row r="79">
          <cell r="B79">
            <v>1</v>
          </cell>
          <cell r="D79" t="str">
            <v>Instalasi Listrik</v>
          </cell>
          <cell r="H79" t="str">
            <v>Dihitung</v>
          </cell>
          <cell r="I79">
            <v>30</v>
          </cell>
          <cell r="J79" t="str">
            <v>Titik</v>
          </cell>
          <cell r="K79">
            <v>32500</v>
          </cell>
          <cell r="L79">
            <v>975000</v>
          </cell>
        </row>
        <row r="80">
          <cell r="B80">
            <v>2</v>
          </cell>
          <cell r="D80" t="str">
            <v>Stop Kontak kualitas baik</v>
          </cell>
          <cell r="H80" t="str">
            <v>Dihitung</v>
          </cell>
          <cell r="I80">
            <v>3</v>
          </cell>
          <cell r="J80" t="str">
            <v>Bh</v>
          </cell>
          <cell r="K80">
            <v>25000</v>
          </cell>
          <cell r="L80">
            <v>75000</v>
          </cell>
        </row>
        <row r="81">
          <cell r="B81">
            <v>3</v>
          </cell>
          <cell r="D81" t="str">
            <v>Sakelar Ganda Kualitas baik</v>
          </cell>
          <cell r="H81" t="str">
            <v>Dihitung</v>
          </cell>
          <cell r="I81">
            <v>8</v>
          </cell>
          <cell r="J81" t="str">
            <v>Bh</v>
          </cell>
          <cell r="K81">
            <v>20000</v>
          </cell>
          <cell r="L81">
            <v>160000</v>
          </cell>
        </row>
        <row r="82">
          <cell r="B82">
            <v>4</v>
          </cell>
          <cell r="D82" t="str">
            <v>Sakelar Tunggal Kualitas baik</v>
          </cell>
          <cell r="H82" t="str">
            <v>Dihitung</v>
          </cell>
          <cell r="I82">
            <v>8</v>
          </cell>
          <cell r="J82" t="str">
            <v>Bh</v>
          </cell>
          <cell r="K82">
            <v>15000</v>
          </cell>
          <cell r="L82">
            <v>120000</v>
          </cell>
        </row>
        <row r="83">
          <cell r="B83">
            <v>5</v>
          </cell>
          <cell r="D83" t="str">
            <v>Lampu TL = 2 x 20 Watt Lengkap</v>
          </cell>
          <cell r="H83" t="str">
            <v>Dihitung</v>
          </cell>
          <cell r="I83">
            <v>12</v>
          </cell>
          <cell r="J83" t="str">
            <v>Bh</v>
          </cell>
          <cell r="K83">
            <v>75000</v>
          </cell>
          <cell r="L83">
            <v>900000</v>
          </cell>
        </row>
        <row r="84">
          <cell r="B84">
            <v>6</v>
          </cell>
          <cell r="D84" t="str">
            <v>Lampu Pijar 25 Watt</v>
          </cell>
          <cell r="H84" t="str">
            <v>Dihitung</v>
          </cell>
          <cell r="I84">
            <v>18</v>
          </cell>
          <cell r="J84" t="str">
            <v>Bh</v>
          </cell>
          <cell r="K84">
            <v>5000</v>
          </cell>
          <cell r="L84">
            <v>90000</v>
          </cell>
        </row>
        <row r="85">
          <cell r="D85" t="str">
            <v>SUB TOTAL  VIII</v>
          </cell>
          <cell r="L85">
            <v>2320000</v>
          </cell>
        </row>
        <row r="86">
          <cell r="B86" t="str">
            <v>IX</v>
          </cell>
          <cell r="D86" t="str">
            <v>PEKERJAAN PENGECATAN</v>
          </cell>
        </row>
        <row r="87">
          <cell r="B87">
            <v>1</v>
          </cell>
          <cell r="D87" t="str">
            <v>Pengecatan Dinding &amp; Plafon</v>
          </cell>
          <cell r="H87" t="str">
            <v>G.53.1</v>
          </cell>
          <cell r="I87">
            <v>1292.95</v>
          </cell>
          <cell r="J87" t="str">
            <v>M2</v>
          </cell>
          <cell r="K87">
            <v>7561</v>
          </cell>
          <cell r="L87">
            <v>9775994.9499999993</v>
          </cell>
        </row>
        <row r="88">
          <cell r="B88">
            <v>2</v>
          </cell>
          <cell r="D88" t="str">
            <v>Cat Kusen,Pintu,Jendela &amp; Listplank</v>
          </cell>
          <cell r="H88" t="str">
            <v>Supl.IX.1</v>
          </cell>
          <cell r="I88">
            <v>97.55</v>
          </cell>
          <cell r="J88" t="str">
            <v>M2</v>
          </cell>
          <cell r="K88">
            <v>14171.75</v>
          </cell>
          <cell r="L88">
            <v>1382454.21</v>
          </cell>
        </row>
        <row r="89">
          <cell r="D89" t="str">
            <v>SUB TOTAL  IX</v>
          </cell>
          <cell r="L89">
            <v>11158449.16</v>
          </cell>
        </row>
        <row r="90">
          <cell r="B90" t="str">
            <v>A</v>
          </cell>
          <cell r="D90" t="str">
            <v>JUMLAH</v>
          </cell>
          <cell r="L90">
            <v>363637045.54000002</v>
          </cell>
        </row>
        <row r="91">
          <cell r="B91" t="str">
            <v>B</v>
          </cell>
          <cell r="D91" t="str">
            <v>PPN 10%</v>
          </cell>
          <cell r="L91">
            <v>36363704.549999997</v>
          </cell>
        </row>
        <row r="92">
          <cell r="B92" t="str">
            <v>C</v>
          </cell>
          <cell r="D92" t="str">
            <v>JUMLAH  (A+B)</v>
          </cell>
          <cell r="L92">
            <v>400000750.09000003</v>
          </cell>
        </row>
        <row r="93">
          <cell r="B93" t="str">
            <v>D</v>
          </cell>
          <cell r="D93" t="str">
            <v>JUMLAH DIBULATKAN</v>
          </cell>
          <cell r="L93">
            <v>400000000</v>
          </cell>
        </row>
        <row r="94">
          <cell r="N94" t="str">
            <v>REKAPITULASI RENCANA ANGGARAN BIAYA</v>
          </cell>
        </row>
        <row r="95">
          <cell r="N95" t="str">
            <v>OWNER'S ESTIMATE</v>
          </cell>
        </row>
        <row r="97">
          <cell r="N97" t="str">
            <v>Kode Paket</v>
          </cell>
          <cell r="O97" t="str">
            <v>:</v>
          </cell>
          <cell r="P97" t="str">
            <v>D.115</v>
          </cell>
        </row>
        <row r="98">
          <cell r="N98" t="str">
            <v>Propinsi</v>
          </cell>
          <cell r="O98" t="str">
            <v>:</v>
          </cell>
          <cell r="P98" t="str">
            <v>Lampung</v>
          </cell>
        </row>
        <row r="99">
          <cell r="N99" t="str">
            <v>Kota</v>
          </cell>
          <cell r="O99" t="str">
            <v>:</v>
          </cell>
          <cell r="P99" t="str">
            <v>Bandar Lampung</v>
          </cell>
        </row>
        <row r="100">
          <cell r="N100" t="str">
            <v>Kelurahan</v>
          </cell>
          <cell r="O100" t="str">
            <v>:</v>
          </cell>
          <cell r="P100" t="str">
            <v>Kelurahan Segala Mider</v>
          </cell>
        </row>
        <row r="101">
          <cell r="N101" t="str">
            <v>Kegiatan</v>
          </cell>
          <cell r="O101" t="str">
            <v>:</v>
          </cell>
          <cell r="P101" t="str">
            <v>Pembangunan Sekolah</v>
          </cell>
        </row>
        <row r="102">
          <cell r="N102" t="str">
            <v>Pekerjaan</v>
          </cell>
          <cell r="O102" t="str">
            <v>:</v>
          </cell>
          <cell r="P102" t="str">
            <v>Pembangunan RKB, WC Guru dan Murid SMA Negeri 9 Bandar Lampung</v>
          </cell>
        </row>
        <row r="103">
          <cell r="N103" t="str">
            <v>Tahun Anggaran</v>
          </cell>
          <cell r="O103" t="str">
            <v>:</v>
          </cell>
          <cell r="P103">
            <v>2006</v>
          </cell>
        </row>
        <row r="105">
          <cell r="N105" t="str">
            <v>NO.</v>
          </cell>
          <cell r="O105" t="str">
            <v>URAIAN  PEKERJAAN</v>
          </cell>
          <cell r="U105" t="str">
            <v>TOTAL</v>
          </cell>
        </row>
        <row r="106">
          <cell r="U106" t="str">
            <v>HARGA</v>
          </cell>
        </row>
        <row r="107">
          <cell r="U107" t="str">
            <v>(Rp)</v>
          </cell>
        </row>
        <row r="108">
          <cell r="N108" t="str">
            <v>I</v>
          </cell>
          <cell r="P108" t="str">
            <v>PEKERJAAN PERSIAPAN</v>
          </cell>
          <cell r="U108">
            <v>1600000</v>
          </cell>
        </row>
        <row r="109">
          <cell r="N109" t="str">
            <v>II</v>
          </cell>
          <cell r="P109" t="str">
            <v>PEKERJAAN TANAH</v>
          </cell>
          <cell r="U109">
            <v>8358798.4399999995</v>
          </cell>
        </row>
        <row r="110">
          <cell r="N110" t="str">
            <v>III</v>
          </cell>
          <cell r="P110" t="str">
            <v>PEKERJAAN  PASANGAN</v>
          </cell>
          <cell r="U110">
            <v>108618961.73999999</v>
          </cell>
        </row>
        <row r="111">
          <cell r="N111" t="str">
            <v>IV</v>
          </cell>
          <cell r="P111" t="str">
            <v>PEKERJAAN BETON</v>
          </cell>
          <cell r="U111">
            <v>41356204.950000003</v>
          </cell>
        </row>
        <row r="112">
          <cell r="N112" t="str">
            <v>V</v>
          </cell>
          <cell r="P112" t="str">
            <v>PEKERJAAN KUSEN</v>
          </cell>
          <cell r="U112">
            <v>37405501.789999999</v>
          </cell>
        </row>
        <row r="113">
          <cell r="N113" t="str">
            <v>VI</v>
          </cell>
          <cell r="P113" t="str">
            <v>PEKERJAAN ATAP &amp; PLAFON</v>
          </cell>
          <cell r="U113">
            <v>145231922.86000001</v>
          </cell>
        </row>
        <row r="114">
          <cell r="N114" t="str">
            <v>VII</v>
          </cell>
          <cell r="P114" t="str">
            <v>PEKERJAAN INSTALASI AIR</v>
          </cell>
          <cell r="U114">
            <v>7587206.5999999996</v>
          </cell>
        </row>
        <row r="115">
          <cell r="N115" t="str">
            <v>VIII</v>
          </cell>
          <cell r="P115" t="str">
            <v>PEKERJAAN INSTALASI LISTRIK</v>
          </cell>
          <cell r="U115">
            <v>2320000</v>
          </cell>
        </row>
        <row r="116">
          <cell r="N116" t="str">
            <v>IX</v>
          </cell>
          <cell r="P116" t="str">
            <v>PEKERJAAN PENGECATAN</v>
          </cell>
          <cell r="U116">
            <v>11158449.16</v>
          </cell>
        </row>
        <row r="117">
          <cell r="P117" t="str">
            <v>JUMLAH ( I  s/d.  IX)</v>
          </cell>
          <cell r="U117">
            <v>363637045.54000002</v>
          </cell>
        </row>
        <row r="118">
          <cell r="P118" t="str">
            <v>PPN 10%</v>
          </cell>
          <cell r="U118">
            <v>36363704.554000005</v>
          </cell>
        </row>
        <row r="119">
          <cell r="P119" t="str">
            <v>TOTAL</v>
          </cell>
          <cell r="U119">
            <v>400000750.09400004</v>
          </cell>
        </row>
        <row r="120">
          <cell r="P120" t="str">
            <v>DIBULATKAN</v>
          </cell>
          <cell r="U120">
            <v>400000000</v>
          </cell>
        </row>
        <row r="122">
          <cell r="N122" t="str">
            <v>Terbilang</v>
          </cell>
          <cell r="O122" t="str">
            <v>:</v>
          </cell>
          <cell r="P122" t="str">
            <v>Empat Ratus Juta Rupiah</v>
          </cell>
        </row>
        <row r="123">
          <cell r="P123">
            <v>3</v>
          </cell>
        </row>
        <row r="125">
          <cell r="R125" t="str">
            <v>Bandar Lampung,      Juli 2006</v>
          </cell>
        </row>
        <row r="126">
          <cell r="N126" t="str">
            <v>Disetujui</v>
          </cell>
        </row>
        <row r="127">
          <cell r="N127" t="str">
            <v>Pejabat Pembuat Komitmen/Pimpinan Kegiatan</v>
          </cell>
          <cell r="R127" t="str">
            <v>PANITIA PELELANGAN</v>
          </cell>
        </row>
        <row r="128">
          <cell r="N128" t="str">
            <v>Pembangunan Sekolah</v>
          </cell>
        </row>
        <row r="133">
          <cell r="N133" t="str">
            <v>Hi. IBRAHIM, ST, MM</v>
          </cell>
          <cell r="R133" t="str">
            <v>FAISOL MUCHTAR,ST</v>
          </cell>
        </row>
        <row r="134">
          <cell r="N134" t="str">
            <v>NIP.460017324</v>
          </cell>
          <cell r="R134" t="str">
            <v>NIP. 460021411</v>
          </cell>
        </row>
      </sheetData>
      <sheetData sheetId="19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D.116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/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RKB dan Perpustakaan SMA Negeri 15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Papan Nama Proyek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250000</v>
          </cell>
          <cell r="L16">
            <v>250000</v>
          </cell>
        </row>
        <row r="17">
          <cell r="B17">
            <v>2</v>
          </cell>
          <cell r="D17" t="str">
            <v>Dokumentasi Foto 0%,50%, 100%</v>
          </cell>
          <cell r="H17" t="str">
            <v>Dihitung</v>
          </cell>
          <cell r="I17">
            <v>1</v>
          </cell>
          <cell r="J17" t="str">
            <v>Ls</v>
          </cell>
          <cell r="K17">
            <v>500000</v>
          </cell>
          <cell r="L17">
            <v>500000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350000</v>
          </cell>
          <cell r="L18">
            <v>350000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300000</v>
          </cell>
          <cell r="L19">
            <v>300000</v>
          </cell>
        </row>
        <row r="20">
          <cell r="D20" t="str">
            <v>SUB TOTAL  I</v>
          </cell>
          <cell r="L20">
            <v>1400000</v>
          </cell>
        </row>
        <row r="21">
          <cell r="B21" t="str">
            <v>II</v>
          </cell>
          <cell r="D21" t="str">
            <v>PEKERJAAN  PASANGAN</v>
          </cell>
        </row>
        <row r="22">
          <cell r="B22">
            <v>1</v>
          </cell>
          <cell r="D22" t="str">
            <v>Pas. Dinding Bata adukan 1 : 4</v>
          </cell>
          <cell r="H22" t="str">
            <v>G.33h+G.32a</v>
          </cell>
          <cell r="I22">
            <v>33.840999999999994</v>
          </cell>
          <cell r="J22" t="str">
            <v>M3</v>
          </cell>
          <cell r="K22">
            <v>383258.81</v>
          </cell>
          <cell r="L22">
            <v>12969861.390000001</v>
          </cell>
        </row>
        <row r="23">
          <cell r="B23">
            <v>2</v>
          </cell>
          <cell r="D23" t="str">
            <v>Pas. Plesteran adukan 1 : 4</v>
          </cell>
          <cell r="H23" t="str">
            <v>G.50q+G.48</v>
          </cell>
          <cell r="I23">
            <v>685.2</v>
          </cell>
          <cell r="J23" t="str">
            <v>M2</v>
          </cell>
          <cell r="K23">
            <v>19133.61</v>
          </cell>
          <cell r="L23">
            <v>13110349.57</v>
          </cell>
        </row>
        <row r="24">
          <cell r="B24">
            <v>3</v>
          </cell>
          <cell r="D24" t="str">
            <v>Pas. Keramik Lantai 30/30</v>
          </cell>
          <cell r="H24" t="str">
            <v>Supl.III(c)</v>
          </cell>
          <cell r="I24">
            <v>243</v>
          </cell>
          <cell r="J24" t="str">
            <v>M2</v>
          </cell>
          <cell r="K24">
            <v>64691.59</v>
          </cell>
          <cell r="L24">
            <v>15720056.369999999</v>
          </cell>
        </row>
        <row r="25">
          <cell r="D25" t="str">
            <v>SUB TOTAL  II</v>
          </cell>
          <cell r="L25">
            <v>41800267.329999998</v>
          </cell>
        </row>
        <row r="26">
          <cell r="B26" t="str">
            <v>III</v>
          </cell>
          <cell r="D26" t="str">
            <v>PEKERJAAN BETON</v>
          </cell>
        </row>
        <row r="27">
          <cell r="B27">
            <v>1</v>
          </cell>
          <cell r="D27" t="str">
            <v>Cor Beton Ringbalk 20/35 (1:2:3)</v>
          </cell>
          <cell r="H27" t="str">
            <v>G.41+3/4 I.2(b)+1/2 F.8</v>
          </cell>
          <cell r="I27">
            <v>8.19</v>
          </cell>
          <cell r="J27" t="str">
            <v>M3</v>
          </cell>
          <cell r="K27">
            <v>2846717.78</v>
          </cell>
          <cell r="L27">
            <v>23314618.620000001</v>
          </cell>
        </row>
        <row r="28">
          <cell r="B28">
            <v>2</v>
          </cell>
          <cell r="D28" t="str">
            <v>Cor Beton Kolom 30/30 (1:2:3)</v>
          </cell>
          <cell r="H28" t="str">
            <v>G.41+3/4 I.2(b)+1/2 F.8</v>
          </cell>
          <cell r="I28">
            <v>11.628</v>
          </cell>
          <cell r="J28" t="str">
            <v>M3</v>
          </cell>
          <cell r="K28">
            <v>2846717.78</v>
          </cell>
          <cell r="L28">
            <v>33101634.350000001</v>
          </cell>
        </row>
        <row r="29">
          <cell r="B29">
            <v>3</v>
          </cell>
          <cell r="D29" t="str">
            <v>Cor Beton Balok dan Plat Tangga (1:2:3)</v>
          </cell>
          <cell r="H29" t="str">
            <v>G.41+3/4 I.2(b)+F.8</v>
          </cell>
          <cell r="I29">
            <v>4.3499999999999996</v>
          </cell>
          <cell r="J29" t="str">
            <v>M3</v>
          </cell>
          <cell r="K29">
            <v>3348157.78</v>
          </cell>
          <cell r="L29">
            <v>14564486.34</v>
          </cell>
        </row>
        <row r="30">
          <cell r="D30" t="str">
            <v>SUB TOTAL  III</v>
          </cell>
          <cell r="L30">
            <v>70980739.310000002</v>
          </cell>
        </row>
        <row r="31">
          <cell r="B31" t="str">
            <v>IV</v>
          </cell>
          <cell r="D31" t="str">
            <v>PEKERJAAN KUSEN</v>
          </cell>
        </row>
        <row r="32">
          <cell r="B32">
            <v>1</v>
          </cell>
          <cell r="D32" t="str">
            <v>Pas. Kusen Pintu &amp; Jendela (Kayu kls II)</v>
          </cell>
          <cell r="H32" t="str">
            <v>F.27(b)</v>
          </cell>
          <cell r="I32">
            <v>2.6020000000000003</v>
          </cell>
          <cell r="J32" t="str">
            <v>M3</v>
          </cell>
          <cell r="K32">
            <v>3180138</v>
          </cell>
          <cell r="L32">
            <v>8274719.0800000001</v>
          </cell>
        </row>
        <row r="33">
          <cell r="B33">
            <v>2</v>
          </cell>
          <cell r="D33" t="str">
            <v>Pas. Daun Pintu Panel Kayu Kelas II</v>
          </cell>
          <cell r="H33" t="str">
            <v>F.33.2(b)</v>
          </cell>
          <cell r="I33">
            <v>12</v>
          </cell>
          <cell r="J33" t="str">
            <v>M2</v>
          </cell>
          <cell r="K33">
            <v>473575</v>
          </cell>
          <cell r="L33">
            <v>5682900</v>
          </cell>
        </row>
        <row r="34">
          <cell r="B34">
            <v>3</v>
          </cell>
          <cell r="D34" t="str">
            <v>Pas. Daun Jendela (Kaca Polos 5 mm) Kayu Kelas II</v>
          </cell>
          <cell r="H34" t="str">
            <v>F.36(d)</v>
          </cell>
          <cell r="I34">
            <v>40.5</v>
          </cell>
          <cell r="J34" t="str">
            <v>M2</v>
          </cell>
          <cell r="K34">
            <v>435778</v>
          </cell>
          <cell r="L34">
            <v>17649009</v>
          </cell>
        </row>
        <row r="35">
          <cell r="B35">
            <v>4</v>
          </cell>
          <cell r="D35" t="str">
            <v>Pas. Jalusi Kayu Kelas II</v>
          </cell>
          <cell r="H35" t="str">
            <v>F.31(a)</v>
          </cell>
          <cell r="I35">
            <v>34.880000000000003</v>
          </cell>
          <cell r="J35" t="str">
            <v>M2</v>
          </cell>
          <cell r="K35">
            <v>184030.5</v>
          </cell>
          <cell r="L35">
            <v>6418983.8399999999</v>
          </cell>
        </row>
        <row r="36">
          <cell r="B36">
            <v>5</v>
          </cell>
          <cell r="D36" t="str">
            <v>Pas. Engsel Pintu @ 3 bh</v>
          </cell>
          <cell r="H36" t="str">
            <v>Supl.BMPK.2(a)</v>
          </cell>
          <cell r="I36">
            <v>18</v>
          </cell>
          <cell r="J36" t="str">
            <v>Bh</v>
          </cell>
          <cell r="K36">
            <v>8266</v>
          </cell>
          <cell r="L36">
            <v>148788</v>
          </cell>
        </row>
        <row r="37">
          <cell r="B37">
            <v>6</v>
          </cell>
          <cell r="D37" t="str">
            <v>Pas. Engsel Jendela @ 3 bh</v>
          </cell>
          <cell r="H37" t="str">
            <v>Supl.BMPK.2(b)</v>
          </cell>
          <cell r="I37">
            <v>90</v>
          </cell>
          <cell r="J37" t="str">
            <v>Bh</v>
          </cell>
          <cell r="K37">
            <v>7066</v>
          </cell>
          <cell r="L37">
            <v>635940</v>
          </cell>
        </row>
        <row r="38">
          <cell r="B38">
            <v>7</v>
          </cell>
          <cell r="D38" t="str">
            <v>Pas. Grendel Jendela</v>
          </cell>
          <cell r="H38" t="str">
            <v>Supl.BMPK.5(a)</v>
          </cell>
          <cell r="I38">
            <v>45</v>
          </cell>
          <cell r="J38" t="str">
            <v>Bh</v>
          </cell>
          <cell r="K38">
            <v>6566</v>
          </cell>
          <cell r="L38">
            <v>295470</v>
          </cell>
        </row>
        <row r="39">
          <cell r="B39">
            <v>8</v>
          </cell>
          <cell r="D39" t="str">
            <v>Pas. Tarikan Jendela</v>
          </cell>
          <cell r="H39" t="str">
            <v>Supl.BMPK.3(b)</v>
          </cell>
          <cell r="I39">
            <v>45</v>
          </cell>
          <cell r="J39" t="str">
            <v>Bh</v>
          </cell>
          <cell r="K39">
            <v>9066</v>
          </cell>
          <cell r="L39">
            <v>407970</v>
          </cell>
        </row>
        <row r="40">
          <cell r="B40">
            <v>9</v>
          </cell>
          <cell r="D40" t="str">
            <v>Pas. Hak Angin</v>
          </cell>
          <cell r="H40" t="str">
            <v>Supl.BMPK.4</v>
          </cell>
          <cell r="I40">
            <v>90</v>
          </cell>
          <cell r="J40" t="str">
            <v>Bh</v>
          </cell>
          <cell r="K40">
            <v>4066</v>
          </cell>
          <cell r="L40">
            <v>365940</v>
          </cell>
        </row>
        <row r="41">
          <cell r="B41">
            <v>10</v>
          </cell>
          <cell r="D41" t="str">
            <v>Pas. Kunci Tanam 2 x Putar</v>
          </cell>
          <cell r="H41" t="str">
            <v>Supl.BMPK.1(b)</v>
          </cell>
          <cell r="I41">
            <v>3</v>
          </cell>
          <cell r="J41" t="str">
            <v>Bh</v>
          </cell>
          <cell r="K41">
            <v>79000</v>
          </cell>
          <cell r="L41">
            <v>237000</v>
          </cell>
        </row>
        <row r="42">
          <cell r="D42" t="str">
            <v>SUB TOTAL  IV</v>
          </cell>
          <cell r="L42">
            <v>40116719.920000002</v>
          </cell>
        </row>
        <row r="43">
          <cell r="B43" t="str">
            <v>V</v>
          </cell>
          <cell r="D43" t="str">
            <v>PEKERJAAN ATAP &amp; PLAFON</v>
          </cell>
        </row>
        <row r="44">
          <cell r="B44">
            <v>1</v>
          </cell>
          <cell r="D44" t="str">
            <v>Pas. Kuda-Kuda Rangka Baja L.60.60.6, Plat simpul  8 mm</v>
          </cell>
          <cell r="H44" t="str">
            <v>F.22a</v>
          </cell>
          <cell r="I44">
            <v>2375.6799999999998</v>
          </cell>
          <cell r="J44" t="str">
            <v>Kg</v>
          </cell>
          <cell r="K44">
            <v>43250</v>
          </cell>
          <cell r="L44">
            <v>102748160</v>
          </cell>
        </row>
        <row r="45">
          <cell r="B45">
            <v>2</v>
          </cell>
          <cell r="D45" t="str">
            <v>Pas. Tracktank Dia 10 mm</v>
          </cell>
          <cell r="H45" t="str">
            <v>Dihitung</v>
          </cell>
          <cell r="I45">
            <v>261.57</v>
          </cell>
          <cell r="J45" t="str">
            <v>Kg</v>
          </cell>
          <cell r="K45">
            <v>7500</v>
          </cell>
          <cell r="L45">
            <v>1961775</v>
          </cell>
        </row>
        <row r="46">
          <cell r="B46">
            <v>3</v>
          </cell>
          <cell r="D46" t="str">
            <v>Pas. Baut angker Dia. 12 mm Panjang 30 cm</v>
          </cell>
          <cell r="H46" t="str">
            <v>Dihitung</v>
          </cell>
          <cell r="I46">
            <v>88</v>
          </cell>
          <cell r="J46" t="str">
            <v>Buah</v>
          </cell>
          <cell r="K46">
            <v>7500</v>
          </cell>
          <cell r="L46">
            <v>660000</v>
          </cell>
        </row>
        <row r="47">
          <cell r="B47">
            <v>4</v>
          </cell>
          <cell r="D47" t="str">
            <v>Pas. Baut Dia. 8 mm Panjang 12,5 cm</v>
          </cell>
          <cell r="H47" t="str">
            <v>Dihitung</v>
          </cell>
          <cell r="I47">
            <v>72</v>
          </cell>
          <cell r="J47" t="str">
            <v>Buah</v>
          </cell>
          <cell r="K47">
            <v>5000</v>
          </cell>
          <cell r="L47">
            <v>360000</v>
          </cell>
        </row>
        <row r="48">
          <cell r="B48">
            <v>5</v>
          </cell>
          <cell r="D48" t="str">
            <v>Pas. Gording Kayu Kls.II  8/12 cm</v>
          </cell>
          <cell r="H48" t="str">
            <v>F.22(a)</v>
          </cell>
          <cell r="I48">
            <v>1.768</v>
          </cell>
          <cell r="J48" t="str">
            <v>M3</v>
          </cell>
          <cell r="K48">
            <v>3481800</v>
          </cell>
          <cell r="L48">
            <v>6155822.4000000004</v>
          </cell>
        </row>
        <row r="49">
          <cell r="B49">
            <v>6</v>
          </cell>
          <cell r="D49" t="str">
            <v>Pas. Kaso dan Reng Kayu Kelas II</v>
          </cell>
          <cell r="H49" t="str">
            <v>F.16</v>
          </cell>
          <cell r="I49">
            <v>289.93</v>
          </cell>
          <cell r="J49" t="str">
            <v>M2</v>
          </cell>
          <cell r="K49">
            <v>17602</v>
          </cell>
          <cell r="L49">
            <v>5103347.8600000003</v>
          </cell>
        </row>
        <row r="50">
          <cell r="B50">
            <v>7</v>
          </cell>
          <cell r="D50" t="str">
            <v>Pas. Penutup Atap Genteng Plentong Mantili</v>
          </cell>
          <cell r="H50" t="str">
            <v>H.2.1(c)</v>
          </cell>
          <cell r="I50">
            <v>289.93</v>
          </cell>
          <cell r="J50" t="str">
            <v>M2</v>
          </cell>
          <cell r="K50">
            <v>32340</v>
          </cell>
          <cell r="L50">
            <v>9376336.1999999993</v>
          </cell>
        </row>
        <row r="51">
          <cell r="B51">
            <v>8</v>
          </cell>
          <cell r="D51" t="str">
            <v>Menutup bubungan Genteng Plentong Mantili</v>
          </cell>
          <cell r="H51" t="str">
            <v>H.6+G.16(c)</v>
          </cell>
          <cell r="I51">
            <v>41</v>
          </cell>
          <cell r="J51" t="str">
            <v>M'</v>
          </cell>
          <cell r="K51">
            <v>31740</v>
          </cell>
          <cell r="L51">
            <v>1301340</v>
          </cell>
        </row>
        <row r="52">
          <cell r="B52">
            <v>9</v>
          </cell>
          <cell r="D52" t="str">
            <v>Pas. Rangka Plafon (Kayu Kelas III)</v>
          </cell>
          <cell r="H52" t="str">
            <v>F.1.1</v>
          </cell>
          <cell r="I52">
            <v>4.4660000000000002</v>
          </cell>
          <cell r="J52" t="str">
            <v>M3</v>
          </cell>
          <cell r="K52">
            <v>2685950</v>
          </cell>
          <cell r="L52">
            <v>11995452.699999999</v>
          </cell>
        </row>
        <row r="53">
          <cell r="B53">
            <v>10</v>
          </cell>
          <cell r="D53" t="str">
            <v>Pas. Plafon (triplek 3 mm )</v>
          </cell>
          <cell r="H53" t="str">
            <v>D.12(a)</v>
          </cell>
          <cell r="I53">
            <v>319</v>
          </cell>
          <cell r="J53" t="str">
            <v>M2</v>
          </cell>
          <cell r="K53">
            <v>23115</v>
          </cell>
          <cell r="L53">
            <v>7373685</v>
          </cell>
        </row>
        <row r="54">
          <cell r="B54">
            <v>11</v>
          </cell>
          <cell r="D54" t="str">
            <v>Pas. Lis Profil siku 5 cm</v>
          </cell>
          <cell r="H54" t="str">
            <v>Supl.BMPK.15</v>
          </cell>
          <cell r="I54">
            <v>244</v>
          </cell>
          <cell r="J54" t="str">
            <v>M'</v>
          </cell>
          <cell r="K54">
            <v>24235</v>
          </cell>
          <cell r="L54">
            <v>5913340</v>
          </cell>
        </row>
        <row r="55">
          <cell r="B55">
            <v>12</v>
          </cell>
          <cell r="D55" t="str">
            <v>Pas. Lisplank ( Papan 3/25 Kayu Kelas II)</v>
          </cell>
          <cell r="H55" t="str">
            <v>F.21</v>
          </cell>
          <cell r="I55">
            <v>20.25</v>
          </cell>
          <cell r="J55" t="str">
            <v>M2</v>
          </cell>
          <cell r="K55">
            <v>93324</v>
          </cell>
          <cell r="L55">
            <v>1889811</v>
          </cell>
        </row>
        <row r="56">
          <cell r="D56" t="str">
            <v>SUB TOTAL  V</v>
          </cell>
          <cell r="L56">
            <v>154839070.16</v>
          </cell>
        </row>
        <row r="57">
          <cell r="B57" t="str">
            <v>VI</v>
          </cell>
          <cell r="D57" t="str">
            <v>PEKERJAAN INSTALASI LISTRIK</v>
          </cell>
        </row>
        <row r="58">
          <cell r="B58">
            <v>1</v>
          </cell>
          <cell r="D58" t="str">
            <v>Instalasi Listrik</v>
          </cell>
          <cell r="H58" t="str">
            <v>Dihitung</v>
          </cell>
          <cell r="I58">
            <v>30</v>
          </cell>
          <cell r="J58" t="str">
            <v>Titik</v>
          </cell>
          <cell r="K58">
            <v>32500</v>
          </cell>
          <cell r="L58">
            <v>975000</v>
          </cell>
        </row>
        <row r="59">
          <cell r="B59">
            <v>2</v>
          </cell>
          <cell r="D59" t="str">
            <v>Stop Kontak kualitas baik</v>
          </cell>
          <cell r="H59" t="str">
            <v>Dihitung</v>
          </cell>
          <cell r="I59">
            <v>3</v>
          </cell>
          <cell r="J59" t="str">
            <v>Bh</v>
          </cell>
          <cell r="K59">
            <v>25000</v>
          </cell>
          <cell r="L59">
            <v>75000</v>
          </cell>
        </row>
        <row r="60">
          <cell r="B60">
            <v>3</v>
          </cell>
          <cell r="D60" t="str">
            <v>Sakelar Tunggal Kualitas baik</v>
          </cell>
          <cell r="H60" t="str">
            <v>Dihitung</v>
          </cell>
          <cell r="I60">
            <v>3</v>
          </cell>
          <cell r="J60" t="str">
            <v>Bh</v>
          </cell>
          <cell r="K60">
            <v>15000</v>
          </cell>
          <cell r="L60">
            <v>45000</v>
          </cell>
        </row>
        <row r="61">
          <cell r="B61">
            <v>4</v>
          </cell>
          <cell r="D61" t="str">
            <v>Lampu TL = 1 x 20 Watt Lengkap</v>
          </cell>
          <cell r="H61" t="str">
            <v>Dihitung</v>
          </cell>
          <cell r="I61">
            <v>12</v>
          </cell>
          <cell r="J61" t="str">
            <v>Bh</v>
          </cell>
          <cell r="K61">
            <v>45000</v>
          </cell>
          <cell r="L61">
            <v>540000</v>
          </cell>
        </row>
        <row r="62">
          <cell r="B62">
            <v>5</v>
          </cell>
          <cell r="D62" t="str">
            <v>Lampu Pijar 25 Watt</v>
          </cell>
          <cell r="H62" t="str">
            <v>Dihitung</v>
          </cell>
          <cell r="I62">
            <v>4</v>
          </cell>
          <cell r="J62" t="str">
            <v>Bh</v>
          </cell>
          <cell r="K62">
            <v>5000</v>
          </cell>
          <cell r="L62">
            <v>20000</v>
          </cell>
        </row>
        <row r="63">
          <cell r="D63" t="str">
            <v>SUB TOTAL  VI</v>
          </cell>
          <cell r="L63">
            <v>1655000</v>
          </cell>
        </row>
        <row r="64">
          <cell r="B64" t="str">
            <v>VII</v>
          </cell>
          <cell r="D64" t="str">
            <v>PEKERJAAN PENGECATAN</v>
          </cell>
        </row>
        <row r="65">
          <cell r="B65">
            <v>1</v>
          </cell>
          <cell r="D65" t="str">
            <v>Pengecatan Dinding &amp; Plafon</v>
          </cell>
          <cell r="H65" t="str">
            <v>G.53.1</v>
          </cell>
          <cell r="I65">
            <v>791</v>
          </cell>
          <cell r="J65" t="str">
            <v>M2</v>
          </cell>
          <cell r="K65">
            <v>7561</v>
          </cell>
          <cell r="L65">
            <v>5980751</v>
          </cell>
        </row>
        <row r="66">
          <cell r="B66">
            <v>2</v>
          </cell>
          <cell r="D66" t="str">
            <v>Cat Kusen,Pintu,Jendela &amp; Listplank</v>
          </cell>
          <cell r="H66" t="str">
            <v>Supl.IX.1</v>
          </cell>
          <cell r="I66">
            <v>99.492000000000004</v>
          </cell>
          <cell r="J66" t="str">
            <v>M2</v>
          </cell>
          <cell r="K66">
            <v>14171.75</v>
          </cell>
          <cell r="L66">
            <v>1409975.75</v>
          </cell>
        </row>
        <row r="67">
          <cell r="D67" t="str">
            <v>SUB TOTAL  VII</v>
          </cell>
          <cell r="L67">
            <v>7390726.75</v>
          </cell>
        </row>
        <row r="68">
          <cell r="B68" t="str">
            <v>A</v>
          </cell>
          <cell r="D68" t="str">
            <v>JUMLAH</v>
          </cell>
          <cell r="L68">
            <v>318182523.47000003</v>
          </cell>
        </row>
        <row r="69">
          <cell r="B69" t="str">
            <v>B</v>
          </cell>
          <cell r="D69" t="str">
            <v>PPN 10%</v>
          </cell>
          <cell r="L69">
            <v>31818252.350000001</v>
          </cell>
        </row>
        <row r="70">
          <cell r="B70" t="str">
            <v>C</v>
          </cell>
          <cell r="D70" t="str">
            <v>JUMLAH  (A+B)</v>
          </cell>
          <cell r="L70">
            <v>350000775.82000005</v>
          </cell>
        </row>
        <row r="71">
          <cell r="B71" t="str">
            <v>D</v>
          </cell>
          <cell r="D71" t="str">
            <v>JUMLAH DIBULATKAN</v>
          </cell>
          <cell r="L71">
            <v>350000000</v>
          </cell>
        </row>
        <row r="72">
          <cell r="N72" t="str">
            <v>REKAPITULASI RENCANA ANGGARAN BIAYA</v>
          </cell>
        </row>
        <row r="73">
          <cell r="N73" t="str">
            <v>OWNER'S ESTIMATE</v>
          </cell>
        </row>
        <row r="75">
          <cell r="N75" t="str">
            <v>Kode Paket</v>
          </cell>
          <cell r="O75" t="str">
            <v>:</v>
          </cell>
          <cell r="P75" t="str">
            <v>D.116</v>
          </cell>
        </row>
        <row r="76">
          <cell r="N76" t="str">
            <v>Propinsi</v>
          </cell>
          <cell r="O76" t="str">
            <v>:</v>
          </cell>
          <cell r="P76" t="str">
            <v>Lampung</v>
          </cell>
        </row>
        <row r="77">
          <cell r="N77" t="str">
            <v>Kota</v>
          </cell>
          <cell r="O77" t="str">
            <v>:</v>
          </cell>
          <cell r="P77" t="str">
            <v>Bandar Lampung</v>
          </cell>
        </row>
        <row r="78">
          <cell r="N78" t="str">
            <v>Kelurahan</v>
          </cell>
          <cell r="O78" t="str">
            <v>:</v>
          </cell>
          <cell r="P78" t="str">
            <v/>
          </cell>
        </row>
        <row r="79">
          <cell r="N79" t="str">
            <v>Kegiatan</v>
          </cell>
          <cell r="O79" t="str">
            <v>:</v>
          </cell>
          <cell r="P79" t="str">
            <v>Pembangunan Sekolah</v>
          </cell>
        </row>
        <row r="80">
          <cell r="N80" t="str">
            <v>Pekerjaan</v>
          </cell>
          <cell r="O80" t="str">
            <v>:</v>
          </cell>
          <cell r="P80" t="str">
            <v>Pembangunan RKB dan Perpustakaan SMA Negeri 15 Bandar Lampung</v>
          </cell>
        </row>
        <row r="81">
          <cell r="N81" t="str">
            <v>Tahun Anggaran</v>
          </cell>
          <cell r="O81" t="str">
            <v>:</v>
          </cell>
          <cell r="P81">
            <v>2006</v>
          </cell>
        </row>
        <row r="83">
          <cell r="N83" t="str">
            <v>NO.</v>
          </cell>
          <cell r="O83" t="str">
            <v>URAIAN  PEKERJAAN</v>
          </cell>
          <cell r="U83" t="str">
            <v>TOTAL</v>
          </cell>
        </row>
        <row r="84">
          <cell r="U84" t="str">
            <v>HARGA</v>
          </cell>
        </row>
        <row r="85">
          <cell r="U85" t="str">
            <v>(Rp)</v>
          </cell>
        </row>
        <row r="86">
          <cell r="N86" t="str">
            <v>I</v>
          </cell>
          <cell r="P86" t="str">
            <v>PEKERJAAN PERSIAPAN</v>
          </cell>
          <cell r="U86">
            <v>1400000</v>
          </cell>
        </row>
        <row r="87">
          <cell r="N87" t="str">
            <v>II</v>
          </cell>
          <cell r="P87" t="str">
            <v>PEKERJAAN  PASANGAN</v>
          </cell>
          <cell r="U87">
            <v>41800267.329999998</v>
          </cell>
        </row>
        <row r="88">
          <cell r="N88" t="str">
            <v>III</v>
          </cell>
          <cell r="P88" t="str">
            <v>PEKERJAAN BETON</v>
          </cell>
          <cell r="U88">
            <v>70980739.310000002</v>
          </cell>
        </row>
        <row r="89">
          <cell r="N89" t="str">
            <v>IV</v>
          </cell>
          <cell r="P89" t="str">
            <v>PEKERJAAN KUSEN</v>
          </cell>
          <cell r="U89">
            <v>40116719.920000002</v>
          </cell>
        </row>
        <row r="90">
          <cell r="N90" t="str">
            <v>V</v>
          </cell>
          <cell r="P90" t="str">
            <v>PEKERJAAN ATAP &amp; PLAFON</v>
          </cell>
          <cell r="U90">
            <v>154839070.16</v>
          </cell>
        </row>
        <row r="91">
          <cell r="N91" t="str">
            <v>VI</v>
          </cell>
          <cell r="P91" t="str">
            <v>PEKERJAAN INSTALASI LISTRIK</v>
          </cell>
          <cell r="U91">
            <v>1655000</v>
          </cell>
        </row>
        <row r="92">
          <cell r="N92" t="str">
            <v>VII</v>
          </cell>
          <cell r="P92" t="str">
            <v>PEKERJAAN PENGECATAN</v>
          </cell>
          <cell r="U92">
            <v>7390726.75</v>
          </cell>
        </row>
        <row r="93">
          <cell r="P93" t="str">
            <v>JUMLAH ( I  s/d.  VII)</v>
          </cell>
          <cell r="U93">
            <v>318182523.47000003</v>
          </cell>
        </row>
        <row r="94">
          <cell r="P94" t="str">
            <v>PPN 10%</v>
          </cell>
          <cell r="U94">
            <v>31818252.347000003</v>
          </cell>
        </row>
        <row r="95">
          <cell r="P95" t="str">
            <v>TOTAL</v>
          </cell>
          <cell r="U95">
            <v>350000775.81700003</v>
          </cell>
        </row>
        <row r="96">
          <cell r="P96" t="str">
            <v>DIBULATKAN</v>
          </cell>
          <cell r="U96">
            <v>350000000</v>
          </cell>
        </row>
        <row r="98">
          <cell r="N98" t="str">
            <v>Terbilang</v>
          </cell>
          <cell r="O98" t="str">
            <v>:</v>
          </cell>
          <cell r="P98" t="str">
            <v>Tiga Ratus Lima Puluh Juta Rupiah</v>
          </cell>
        </row>
        <row r="101">
          <cell r="R101" t="str">
            <v>Bandar Lampung,  ...................... 2006</v>
          </cell>
        </row>
        <row r="102">
          <cell r="N102" t="str">
            <v>MENGETAHUI :</v>
          </cell>
        </row>
        <row r="103">
          <cell r="N103" t="str">
            <v>PEJABAT PEMBUAT KOMITMEN/ PEMIMPIN KEGIATAN</v>
          </cell>
          <cell r="R103" t="str">
            <v>PANITIA PENGADAAN JASA KONSTRUKSI</v>
          </cell>
        </row>
        <row r="104">
          <cell r="R104" t="str">
            <v>Ketua</v>
          </cell>
        </row>
        <row r="109">
          <cell r="N109" t="str">
            <v>Hi.IBRAHIM, ST,MM</v>
          </cell>
          <cell r="R109" t="str">
            <v>FAISOL MUCHTAR,ST</v>
          </cell>
        </row>
        <row r="110">
          <cell r="N110" t="str">
            <v>NIP.460017324</v>
          </cell>
          <cell r="R110" t="str">
            <v>NIP. 460 021 411</v>
          </cell>
        </row>
      </sheetData>
      <sheetData sheetId="20"/>
      <sheetData sheetId="21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D.118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>Kelurahan Sukamaju</v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LAB IPA SMA Negeri 11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350000</v>
          </cell>
          <cell r="L16">
            <v>350000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250000</v>
          </cell>
          <cell r="L19">
            <v>250000</v>
          </cell>
        </row>
        <row r="20">
          <cell r="B20">
            <v>5</v>
          </cell>
          <cell r="D20" t="str">
            <v>Dokumentasi Foto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500000</v>
          </cell>
          <cell r="L20">
            <v>500000</v>
          </cell>
        </row>
        <row r="21">
          <cell r="D21" t="str">
            <v>SUB TOTAL  I</v>
          </cell>
          <cell r="L21">
            <v>1600000</v>
          </cell>
        </row>
        <row r="22">
          <cell r="B22" t="str">
            <v>II</v>
          </cell>
          <cell r="D22" t="str">
            <v>PEKERJAAN TANAH</v>
          </cell>
        </row>
        <row r="23">
          <cell r="B23">
            <v>1</v>
          </cell>
          <cell r="D23" t="str">
            <v>Galian Tanah Pondasi</v>
          </cell>
          <cell r="H23" t="str">
            <v>A.1</v>
          </cell>
          <cell r="I23">
            <v>22.95</v>
          </cell>
          <cell r="J23" t="str">
            <v>M3</v>
          </cell>
          <cell r="K23">
            <v>19775</v>
          </cell>
          <cell r="L23">
            <v>453836.25</v>
          </cell>
        </row>
        <row r="24">
          <cell r="B24">
            <v>2</v>
          </cell>
          <cell r="D24" t="str">
            <v>Urugan Tanah</v>
          </cell>
          <cell r="H24" t="str">
            <v>A.17</v>
          </cell>
          <cell r="I24">
            <v>7.65</v>
          </cell>
          <cell r="J24" t="str">
            <v>M3</v>
          </cell>
          <cell r="K24">
            <v>6660</v>
          </cell>
          <cell r="L24">
            <v>50949</v>
          </cell>
        </row>
        <row r="25">
          <cell r="B25">
            <v>3</v>
          </cell>
          <cell r="D25" t="str">
            <v>Urugan Pasir Bawah Pondasi</v>
          </cell>
          <cell r="H25" t="str">
            <v>A.18</v>
          </cell>
          <cell r="I25">
            <v>5.61</v>
          </cell>
          <cell r="J25" t="str">
            <v>M3</v>
          </cell>
          <cell r="K25">
            <v>146691.20000000001</v>
          </cell>
          <cell r="L25">
            <v>822937.63</v>
          </cell>
        </row>
        <row r="26">
          <cell r="B26">
            <v>4</v>
          </cell>
          <cell r="D26" t="str">
            <v>Urugan Pasir Bawah Lantai</v>
          </cell>
          <cell r="H26" t="str">
            <v>A.18</v>
          </cell>
          <cell r="I26">
            <v>9.6</v>
          </cell>
          <cell r="J26" t="str">
            <v>M3</v>
          </cell>
          <cell r="K26">
            <v>146691.20000000001</v>
          </cell>
          <cell r="L26">
            <v>1408235.52</v>
          </cell>
        </row>
        <row r="27">
          <cell r="D27" t="str">
            <v>SUB TOTAL  II</v>
          </cell>
          <cell r="L27">
            <v>2735958.4</v>
          </cell>
        </row>
        <row r="28">
          <cell r="B28" t="str">
            <v>III</v>
          </cell>
          <cell r="D28" t="str">
            <v>PEKERJAAN  PASANGAN</v>
          </cell>
        </row>
        <row r="29">
          <cell r="B29">
            <v>1</v>
          </cell>
          <cell r="D29" t="str">
            <v>Pas. Batu Kosong</v>
          </cell>
          <cell r="H29" t="str">
            <v>G.2</v>
          </cell>
          <cell r="I29">
            <v>0</v>
          </cell>
          <cell r="J29" t="str">
            <v>M3</v>
          </cell>
          <cell r="K29">
            <v>222591</v>
          </cell>
          <cell r="L29">
            <v>0</v>
          </cell>
        </row>
        <row r="30">
          <cell r="B30">
            <v>2</v>
          </cell>
          <cell r="D30" t="str">
            <v>Pas. Batu Belah Hitam</v>
          </cell>
          <cell r="H30" t="str">
            <v>G.32h+G.26(a)</v>
          </cell>
          <cell r="I30">
            <v>21.302499999999998</v>
          </cell>
          <cell r="J30" t="str">
            <v>M3</v>
          </cell>
          <cell r="K30">
            <v>527127.02</v>
          </cell>
          <cell r="L30">
            <v>11229123.34</v>
          </cell>
        </row>
        <row r="31">
          <cell r="B31">
            <v>3</v>
          </cell>
          <cell r="D31" t="str">
            <v>Pas. Dinding Bata adukan 1 : 4</v>
          </cell>
          <cell r="H31" t="str">
            <v>G.33h+G.32a</v>
          </cell>
          <cell r="I31">
            <v>19.38</v>
          </cell>
          <cell r="J31" t="str">
            <v>M3</v>
          </cell>
          <cell r="K31">
            <v>383258.81</v>
          </cell>
          <cell r="L31">
            <v>7427555.7400000002</v>
          </cell>
        </row>
        <row r="32">
          <cell r="B32">
            <v>4</v>
          </cell>
          <cell r="D32" t="str">
            <v>Pas. Plesteran adukan 1 : 4</v>
          </cell>
          <cell r="H32" t="str">
            <v>G.50q+G.48</v>
          </cell>
          <cell r="I32">
            <v>387.6</v>
          </cell>
          <cell r="J32" t="str">
            <v>M2</v>
          </cell>
          <cell r="K32">
            <v>19133.61</v>
          </cell>
          <cell r="L32">
            <v>7416187.2400000002</v>
          </cell>
        </row>
        <row r="33">
          <cell r="B33">
            <v>5</v>
          </cell>
          <cell r="D33" t="str">
            <v>Pas. Lantai floor adukan 1 : 3</v>
          </cell>
          <cell r="H33" t="str">
            <v>G.51i</v>
          </cell>
          <cell r="I33">
            <v>140</v>
          </cell>
          <cell r="J33" t="str">
            <v>M2</v>
          </cell>
          <cell r="K33">
            <v>27805.629999999997</v>
          </cell>
          <cell r="L33">
            <v>3892788.2</v>
          </cell>
        </row>
        <row r="34">
          <cell r="B34">
            <v>6</v>
          </cell>
          <cell r="D34" t="str">
            <v>Pas. Saluran Air Keliling Bangunan</v>
          </cell>
          <cell r="H34" t="str">
            <v>G.81</v>
          </cell>
          <cell r="I34">
            <v>52</v>
          </cell>
          <cell r="J34" t="str">
            <v>M'</v>
          </cell>
          <cell r="K34">
            <v>70725.08</v>
          </cell>
          <cell r="L34">
            <v>3677704.16</v>
          </cell>
        </row>
        <row r="35">
          <cell r="B35">
            <v>7</v>
          </cell>
          <cell r="D35" t="str">
            <v>Pas. Rabat beton tak bertulng</v>
          </cell>
          <cell r="H35" t="str">
            <v>G.41</v>
          </cell>
          <cell r="I35">
            <v>4.95</v>
          </cell>
          <cell r="J35" t="str">
            <v>M3</v>
          </cell>
          <cell r="K35">
            <v>701589.14</v>
          </cell>
          <cell r="L35">
            <v>3472866.24</v>
          </cell>
        </row>
        <row r="36">
          <cell r="B36">
            <v>8</v>
          </cell>
          <cell r="D36" t="str">
            <v>Pas. Keramik Lantai 30/30 Cm</v>
          </cell>
          <cell r="H36" t="str">
            <v>Supl.III(c)</v>
          </cell>
          <cell r="I36">
            <v>140</v>
          </cell>
          <cell r="J36" t="str">
            <v>M2</v>
          </cell>
          <cell r="K36">
            <v>64691.59</v>
          </cell>
          <cell r="L36">
            <v>9056822.5999999996</v>
          </cell>
        </row>
        <row r="37">
          <cell r="B37">
            <v>9</v>
          </cell>
          <cell r="D37" t="str">
            <v>Pas. Keramik Lantai 20/20 Cm</v>
          </cell>
          <cell r="H37" t="str">
            <v>Supl.IV(c)</v>
          </cell>
          <cell r="I37">
            <v>21.6</v>
          </cell>
          <cell r="J37" t="str">
            <v>M2</v>
          </cell>
          <cell r="K37">
            <v>88741.59</v>
          </cell>
          <cell r="L37">
            <v>1916818.34</v>
          </cell>
        </row>
        <row r="38">
          <cell r="D38" t="str">
            <v>SUB TOTAL  III</v>
          </cell>
          <cell r="L38">
            <v>48089865.860000007</v>
          </cell>
        </row>
        <row r="39">
          <cell r="B39" t="str">
            <v>IV</v>
          </cell>
          <cell r="D39" t="str">
            <v>PEKERJAAN BETON</v>
          </cell>
        </row>
        <row r="40">
          <cell r="B40">
            <v>1</v>
          </cell>
          <cell r="D40" t="str">
            <v>Cor Meja Beton (1:2:3)</v>
          </cell>
          <cell r="H40" t="str">
            <v>G.41+3/4 I.2(b)+1/2 F.8</v>
          </cell>
          <cell r="I40">
            <v>2.1119999999999997</v>
          </cell>
          <cell r="J40" t="str">
            <v>M3</v>
          </cell>
          <cell r="K40">
            <v>2846717.78</v>
          </cell>
          <cell r="L40">
            <v>6012267.9500000002</v>
          </cell>
        </row>
        <row r="41">
          <cell r="B41">
            <v>2</v>
          </cell>
          <cell r="D41" t="str">
            <v>Cor Beton Sloof 15/20 (1:2:3)</v>
          </cell>
          <cell r="H41" t="str">
            <v>G.41+3/4 I.2(b)+1/2 F.8</v>
          </cell>
          <cell r="I41">
            <v>1.53</v>
          </cell>
          <cell r="J41" t="str">
            <v>M3</v>
          </cell>
          <cell r="K41">
            <v>2846717.78</v>
          </cell>
          <cell r="L41">
            <v>4355478.2</v>
          </cell>
        </row>
        <row r="42">
          <cell r="B42">
            <v>3</v>
          </cell>
          <cell r="D42" t="str">
            <v>Cor Beton Kolom Praktis 12/12 (1:2:3)</v>
          </cell>
          <cell r="H42" t="str">
            <v>G.41+3/4 I.2(a)+1/2 F.8</v>
          </cell>
          <cell r="I42">
            <v>0.73439999999999994</v>
          </cell>
          <cell r="J42" t="str">
            <v>M3</v>
          </cell>
          <cell r="K42">
            <v>2649475.14</v>
          </cell>
          <cell r="L42">
            <v>1945774.54</v>
          </cell>
        </row>
        <row r="43">
          <cell r="B43">
            <v>4</v>
          </cell>
          <cell r="D43" t="str">
            <v>Cor Beton Ringbalk 10/15 (1:2:3)</v>
          </cell>
          <cell r="H43" t="str">
            <v>G.41+3/4 I.2(b)+1/2 F.8</v>
          </cell>
          <cell r="I43">
            <v>1.53</v>
          </cell>
          <cell r="J43" t="str">
            <v>M3</v>
          </cell>
          <cell r="K43">
            <v>2846717.78</v>
          </cell>
          <cell r="L43">
            <v>4355478.2</v>
          </cell>
        </row>
        <row r="44">
          <cell r="B44">
            <v>5</v>
          </cell>
          <cell r="D44" t="str">
            <v>Cor Beton Kolom 20/20 (1:2:3)</v>
          </cell>
          <cell r="H44" t="str">
            <v>G.41+3/4 I.2(b)+1/2 F.8</v>
          </cell>
          <cell r="I44">
            <v>2.4</v>
          </cell>
          <cell r="J44" t="str">
            <v>M3</v>
          </cell>
          <cell r="K44">
            <v>2846717.78</v>
          </cell>
          <cell r="L44">
            <v>6832122.6699999999</v>
          </cell>
        </row>
        <row r="45">
          <cell r="D45" t="str">
            <v>SUB TOTAL  IV</v>
          </cell>
          <cell r="L45">
            <v>23501121.560000002</v>
          </cell>
        </row>
        <row r="46">
          <cell r="B46" t="str">
            <v>V</v>
          </cell>
          <cell r="D46" t="str">
            <v>PEKERJAAN KUSEN</v>
          </cell>
        </row>
        <row r="47">
          <cell r="B47">
            <v>1</v>
          </cell>
          <cell r="D47" t="str">
            <v>Pas. Kusen Pintu &amp; Jendela (Kayu kls II)</v>
          </cell>
          <cell r="H47" t="str">
            <v>F.27(b)</v>
          </cell>
          <cell r="I47">
            <v>1.25</v>
          </cell>
          <cell r="J47" t="str">
            <v>M3</v>
          </cell>
          <cell r="K47">
            <v>3180138</v>
          </cell>
          <cell r="L47">
            <v>3975172.5</v>
          </cell>
        </row>
        <row r="48">
          <cell r="B48">
            <v>2</v>
          </cell>
          <cell r="D48" t="str">
            <v>Pas. Daun Pintu Panel Kayu Kelas II</v>
          </cell>
          <cell r="H48" t="str">
            <v>F.33(b)</v>
          </cell>
          <cell r="I48">
            <v>7.2</v>
          </cell>
          <cell r="J48" t="str">
            <v>M2</v>
          </cell>
          <cell r="K48">
            <v>474231</v>
          </cell>
          <cell r="L48">
            <v>3414463.2</v>
          </cell>
        </row>
        <row r="49">
          <cell r="B49">
            <v>3</v>
          </cell>
          <cell r="D49" t="str">
            <v>Pas. Rangka Pintu Lapis Triplek Kayu Kelas II</v>
          </cell>
          <cell r="H49" t="str">
            <v>F.33.1(g)</v>
          </cell>
          <cell r="I49">
            <v>0</v>
          </cell>
          <cell r="J49" t="str">
            <v>M2</v>
          </cell>
          <cell r="K49">
            <v>379593</v>
          </cell>
          <cell r="L49">
            <v>0</v>
          </cell>
        </row>
        <row r="50">
          <cell r="B50">
            <v>4</v>
          </cell>
          <cell r="D50" t="str">
            <v>Pas. Daun Jendela (Kaca Polos 5 mm) Kayu Kelas II</v>
          </cell>
          <cell r="H50" t="str">
            <v>F.36(d)</v>
          </cell>
          <cell r="I50">
            <v>13.23</v>
          </cell>
          <cell r="J50" t="str">
            <v>M2</v>
          </cell>
          <cell r="K50">
            <v>435778</v>
          </cell>
          <cell r="L50">
            <v>5765342.9400000004</v>
          </cell>
        </row>
        <row r="51">
          <cell r="B51">
            <v>5</v>
          </cell>
          <cell r="D51" t="str">
            <v>Pas. Jalusi Kayu Kelas II</v>
          </cell>
          <cell r="H51" t="str">
            <v>F.31(a)</v>
          </cell>
          <cell r="I51">
            <v>15.12</v>
          </cell>
          <cell r="J51" t="str">
            <v>M2</v>
          </cell>
          <cell r="K51">
            <v>184030.5</v>
          </cell>
          <cell r="L51">
            <v>2782541.16</v>
          </cell>
        </row>
        <row r="52">
          <cell r="B52">
            <v>6</v>
          </cell>
          <cell r="D52" t="str">
            <v>Pas. Engsel Pintu @ 3 bh</v>
          </cell>
          <cell r="H52" t="str">
            <v>Supl.BMPK.2(a)</v>
          </cell>
          <cell r="I52">
            <v>12</v>
          </cell>
          <cell r="J52" t="str">
            <v>Bh</v>
          </cell>
          <cell r="K52">
            <v>8266</v>
          </cell>
          <cell r="L52">
            <v>99192</v>
          </cell>
        </row>
        <row r="53">
          <cell r="B53">
            <v>7</v>
          </cell>
          <cell r="D53" t="str">
            <v>Pas. Engsel Jendela @ 3 bh</v>
          </cell>
          <cell r="H53" t="str">
            <v>Supl.BMPK.2(b)</v>
          </cell>
          <cell r="I53">
            <v>42</v>
          </cell>
          <cell r="J53" t="str">
            <v>Bh</v>
          </cell>
          <cell r="K53">
            <v>7066</v>
          </cell>
          <cell r="L53">
            <v>296772</v>
          </cell>
        </row>
        <row r="54">
          <cell r="B54">
            <v>8</v>
          </cell>
          <cell r="D54" t="str">
            <v>Pas. Grendel Jendela</v>
          </cell>
          <cell r="H54" t="str">
            <v>Supl.BMPK.5(a)</v>
          </cell>
          <cell r="I54">
            <v>42</v>
          </cell>
          <cell r="J54" t="str">
            <v>Bh</v>
          </cell>
          <cell r="K54">
            <v>6566</v>
          </cell>
          <cell r="L54">
            <v>275772</v>
          </cell>
        </row>
        <row r="55">
          <cell r="B55">
            <v>9</v>
          </cell>
          <cell r="D55" t="str">
            <v>Pas. Tarikan Jendela</v>
          </cell>
          <cell r="H55" t="str">
            <v>Supl.BMPK.3(b)</v>
          </cell>
          <cell r="I55">
            <v>21</v>
          </cell>
          <cell r="J55" t="str">
            <v>Bh</v>
          </cell>
          <cell r="K55">
            <v>9066</v>
          </cell>
          <cell r="L55">
            <v>190386</v>
          </cell>
        </row>
        <row r="56">
          <cell r="B56">
            <v>10</v>
          </cell>
          <cell r="D56" t="str">
            <v>Pas. Hak Angin</v>
          </cell>
          <cell r="H56" t="str">
            <v>Supl.BMPK.4</v>
          </cell>
          <cell r="I56">
            <v>42</v>
          </cell>
          <cell r="J56" t="str">
            <v>Bh</v>
          </cell>
          <cell r="K56">
            <v>4066</v>
          </cell>
          <cell r="L56">
            <v>170772</v>
          </cell>
        </row>
        <row r="57">
          <cell r="B57">
            <v>11</v>
          </cell>
          <cell r="D57" t="str">
            <v>Pas. Kunci Tanam 2 x Putar</v>
          </cell>
          <cell r="H57" t="str">
            <v>Supl.BMPK.1(b)</v>
          </cell>
          <cell r="I57">
            <v>3</v>
          </cell>
          <cell r="J57" t="str">
            <v>Bh</v>
          </cell>
          <cell r="K57">
            <v>79000</v>
          </cell>
          <cell r="L57">
            <v>237000</v>
          </cell>
        </row>
        <row r="58">
          <cell r="D58" t="str">
            <v>SUB TOTAL  V</v>
          </cell>
          <cell r="L58">
            <v>17207413.800000001</v>
          </cell>
        </row>
        <row r="59">
          <cell r="B59" t="str">
            <v>VI</v>
          </cell>
          <cell r="D59" t="str">
            <v>PEKERJAAN ATAP &amp; PLAFON</v>
          </cell>
        </row>
        <row r="60">
          <cell r="B60">
            <v>1</v>
          </cell>
          <cell r="D60" t="str">
            <v>Pas. Kuda-Kuda Rangka Baja L.60.60.6, Plat simpul 8 mm</v>
          </cell>
          <cell r="H60" t="str">
            <v>F.22a</v>
          </cell>
          <cell r="I60">
            <v>1219.626</v>
          </cell>
          <cell r="J60" t="str">
            <v>Kg</v>
          </cell>
          <cell r="K60">
            <v>43250</v>
          </cell>
          <cell r="L60">
            <v>52748824.5</v>
          </cell>
        </row>
        <row r="61">
          <cell r="B61">
            <v>2</v>
          </cell>
          <cell r="D61" t="str">
            <v>Pas. Tracksteng Dia 10 mm</v>
          </cell>
          <cell r="H61" t="str">
            <v>Dihitung</v>
          </cell>
          <cell r="I61">
            <v>231.57</v>
          </cell>
          <cell r="J61" t="str">
            <v>Kg</v>
          </cell>
          <cell r="K61">
            <v>7500</v>
          </cell>
          <cell r="L61">
            <v>1736775</v>
          </cell>
        </row>
        <row r="62">
          <cell r="B62">
            <v>3</v>
          </cell>
          <cell r="D62" t="str">
            <v>Pas. Baut angker Dia. 12 mm Panjang 25 cm</v>
          </cell>
          <cell r="H62" t="str">
            <v>Dihitung</v>
          </cell>
          <cell r="I62">
            <v>30</v>
          </cell>
          <cell r="J62" t="str">
            <v>Buah</v>
          </cell>
          <cell r="K62">
            <v>7500</v>
          </cell>
          <cell r="L62">
            <v>225000</v>
          </cell>
        </row>
        <row r="63">
          <cell r="B63">
            <v>4</v>
          </cell>
          <cell r="D63" t="str">
            <v>Pas. Baut Dia. 8 mm Panjang 12,5 cm</v>
          </cell>
          <cell r="H63" t="str">
            <v>Dihitung</v>
          </cell>
          <cell r="I63">
            <v>27</v>
          </cell>
          <cell r="J63" t="str">
            <v>Buah</v>
          </cell>
          <cell r="K63">
            <v>50500</v>
          </cell>
          <cell r="L63">
            <v>1363500</v>
          </cell>
        </row>
        <row r="64">
          <cell r="B64">
            <v>5</v>
          </cell>
          <cell r="D64" t="str">
            <v>Pas. Gording Kayu Kls.II  8/12 cm</v>
          </cell>
          <cell r="H64" t="str">
            <v>F.22(a)</v>
          </cell>
          <cell r="I64">
            <v>1.248</v>
          </cell>
          <cell r="J64" t="str">
            <v>M3</v>
          </cell>
          <cell r="K64">
            <v>3481800</v>
          </cell>
          <cell r="L64">
            <v>4345286.4000000004</v>
          </cell>
        </row>
        <row r="65">
          <cell r="B65">
            <v>6</v>
          </cell>
          <cell r="D65" t="str">
            <v>Pas. Kaso dan Reng Kayu Kelas II</v>
          </cell>
          <cell r="H65" t="str">
            <v>F.16</v>
          </cell>
          <cell r="I65">
            <v>187.8</v>
          </cell>
          <cell r="J65" t="str">
            <v>M2</v>
          </cell>
          <cell r="K65">
            <v>17602</v>
          </cell>
          <cell r="L65">
            <v>3305655.6</v>
          </cell>
        </row>
        <row r="66">
          <cell r="B66">
            <v>7</v>
          </cell>
          <cell r="D66" t="str">
            <v>Pas. Penutup Atap Genteng Plentong Mantili</v>
          </cell>
          <cell r="H66" t="str">
            <v>H.2(c)</v>
          </cell>
          <cell r="I66">
            <v>187.8</v>
          </cell>
          <cell r="J66" t="str">
            <v>M2</v>
          </cell>
          <cell r="K66">
            <v>22120</v>
          </cell>
          <cell r="L66">
            <v>4154136</v>
          </cell>
        </row>
        <row r="67">
          <cell r="B67">
            <v>8</v>
          </cell>
          <cell r="D67" t="str">
            <v>Menutup bubungan Genteng Plentong Mantili</v>
          </cell>
          <cell r="H67" t="str">
            <v>H.6+G.16(c)</v>
          </cell>
          <cell r="I67">
            <v>31.04</v>
          </cell>
          <cell r="J67" t="str">
            <v>M'</v>
          </cell>
          <cell r="K67">
            <v>31740</v>
          </cell>
          <cell r="L67">
            <v>985209.6</v>
          </cell>
        </row>
        <row r="68">
          <cell r="B68">
            <v>9</v>
          </cell>
          <cell r="D68" t="str">
            <v>Pas. Rangka Plafon (Kayu Kelas III)</v>
          </cell>
          <cell r="H68" t="str">
            <v>F.1.1</v>
          </cell>
          <cell r="I68">
            <v>1.877</v>
          </cell>
          <cell r="J68" t="str">
            <v>M3</v>
          </cell>
          <cell r="K68">
            <v>2685950</v>
          </cell>
          <cell r="L68">
            <v>5041528.1500000004</v>
          </cell>
        </row>
        <row r="69">
          <cell r="B69">
            <v>10</v>
          </cell>
          <cell r="D69" t="str">
            <v>Pas. Plafon (triplek 3 mm )</v>
          </cell>
          <cell r="H69" t="str">
            <v>D.12(a)</v>
          </cell>
          <cell r="I69">
            <v>140</v>
          </cell>
          <cell r="J69" t="str">
            <v>M2</v>
          </cell>
          <cell r="K69">
            <v>23115</v>
          </cell>
          <cell r="L69">
            <v>3236100</v>
          </cell>
        </row>
        <row r="70">
          <cell r="B70">
            <v>11</v>
          </cell>
          <cell r="D70" t="str">
            <v>Pas. Lis Profil siku 5 cm</v>
          </cell>
          <cell r="H70" t="str">
            <v>Supl.BMPK.15</v>
          </cell>
          <cell r="I70">
            <v>100</v>
          </cell>
          <cell r="J70" t="str">
            <v>M'</v>
          </cell>
          <cell r="K70">
            <v>24235</v>
          </cell>
          <cell r="L70">
            <v>2423500</v>
          </cell>
        </row>
        <row r="71">
          <cell r="B71">
            <v>12</v>
          </cell>
          <cell r="D71" t="str">
            <v>Pas. Lisplank ( Papan 3/25 Kayu Kelas II)</v>
          </cell>
          <cell r="H71" t="str">
            <v>F.21</v>
          </cell>
          <cell r="I71">
            <v>12</v>
          </cell>
          <cell r="J71" t="str">
            <v>M2</v>
          </cell>
          <cell r="K71">
            <v>93324</v>
          </cell>
          <cell r="L71">
            <v>1119888</v>
          </cell>
        </row>
        <row r="72">
          <cell r="D72" t="str">
            <v>SUB TOTAL  VI</v>
          </cell>
          <cell r="L72">
            <v>80685403.25</v>
          </cell>
        </row>
        <row r="73">
          <cell r="B73" t="str">
            <v>VII</v>
          </cell>
          <cell r="D73" t="str">
            <v>PEKERJAAN INSTALASI AIR</v>
          </cell>
        </row>
        <row r="74">
          <cell r="B74">
            <v>1</v>
          </cell>
          <cell r="D74" t="str">
            <v>Pas. Pipa Saluran air Kotor PVC 2 1/2" (Wavin AW)</v>
          </cell>
          <cell r="H74" t="str">
            <v>H.18.1</v>
          </cell>
          <cell r="I74">
            <v>16</v>
          </cell>
          <cell r="J74" t="str">
            <v>M'</v>
          </cell>
          <cell r="K74">
            <v>36458.5</v>
          </cell>
          <cell r="L74">
            <v>583336</v>
          </cell>
        </row>
        <row r="75">
          <cell r="B75">
            <v>2</v>
          </cell>
          <cell r="D75" t="str">
            <v>Pas. Pipa Saluran air Bersih PVC 3/4" (Wavin AW)</v>
          </cell>
          <cell r="H75" t="str">
            <v>Supl.BMPK.12</v>
          </cell>
          <cell r="I75">
            <v>4</v>
          </cell>
          <cell r="J75" t="str">
            <v>Unit</v>
          </cell>
          <cell r="K75">
            <v>120050</v>
          </cell>
          <cell r="L75">
            <v>480200</v>
          </cell>
        </row>
        <row r="76">
          <cell r="D76" t="str">
            <v>SUB TOTAL  VII</v>
          </cell>
          <cell r="L76">
            <v>1063536</v>
          </cell>
        </row>
        <row r="77">
          <cell r="B77" t="str">
            <v>VIII</v>
          </cell>
          <cell r="D77" t="str">
            <v>PEKERJAAN INSTALASI LISTRIK</v>
          </cell>
        </row>
        <row r="78">
          <cell r="B78">
            <v>1</v>
          </cell>
          <cell r="D78" t="str">
            <v>Instalasi Listrik</v>
          </cell>
          <cell r="H78" t="str">
            <v>Dihitung</v>
          </cell>
          <cell r="I78">
            <v>16</v>
          </cell>
          <cell r="J78" t="str">
            <v>Titik</v>
          </cell>
          <cell r="K78">
            <v>32500</v>
          </cell>
          <cell r="L78">
            <v>520000</v>
          </cell>
        </row>
        <row r="79">
          <cell r="B79">
            <v>2</v>
          </cell>
          <cell r="D79" t="str">
            <v>Stop Kontak kualitas baik</v>
          </cell>
          <cell r="H79" t="str">
            <v>Dihitung</v>
          </cell>
          <cell r="I79">
            <v>3</v>
          </cell>
          <cell r="J79" t="str">
            <v>Bh</v>
          </cell>
          <cell r="K79">
            <v>25000</v>
          </cell>
          <cell r="L79">
            <v>75000</v>
          </cell>
        </row>
        <row r="80">
          <cell r="B80">
            <v>3</v>
          </cell>
          <cell r="D80" t="str">
            <v>Sakelar Tunggal Kualitas baik</v>
          </cell>
          <cell r="H80" t="str">
            <v>Dihitung</v>
          </cell>
          <cell r="I80">
            <v>3</v>
          </cell>
          <cell r="J80" t="str">
            <v>Bh</v>
          </cell>
          <cell r="K80">
            <v>15000</v>
          </cell>
          <cell r="L80">
            <v>45000</v>
          </cell>
        </row>
        <row r="81">
          <cell r="B81">
            <v>4</v>
          </cell>
          <cell r="D81" t="str">
            <v>Lampu TL = 1 x 20 Watt Lengkap</v>
          </cell>
          <cell r="H81" t="str">
            <v>Dihitung</v>
          </cell>
          <cell r="I81">
            <v>2</v>
          </cell>
          <cell r="J81" t="str">
            <v>Bh</v>
          </cell>
          <cell r="K81">
            <v>45000</v>
          </cell>
          <cell r="L81">
            <v>90000</v>
          </cell>
        </row>
        <row r="82">
          <cell r="B82">
            <v>5</v>
          </cell>
          <cell r="D82" t="str">
            <v>Lampu Pijar 25 Watt</v>
          </cell>
          <cell r="H82" t="str">
            <v>Dihitung</v>
          </cell>
          <cell r="I82">
            <v>8</v>
          </cell>
          <cell r="J82" t="str">
            <v>Bh</v>
          </cell>
          <cell r="K82">
            <v>5000</v>
          </cell>
          <cell r="L82">
            <v>40000</v>
          </cell>
        </row>
        <row r="83">
          <cell r="B83">
            <v>6</v>
          </cell>
          <cell r="D83" t="str">
            <v>Biaya Penyambungan PLN 1.300 KVA</v>
          </cell>
          <cell r="H83" t="str">
            <v>Dihitung</v>
          </cell>
          <cell r="I83">
            <v>1</v>
          </cell>
          <cell r="J83" t="str">
            <v>Unit</v>
          </cell>
          <cell r="K83">
            <v>1500000</v>
          </cell>
          <cell r="L83">
            <v>1500000</v>
          </cell>
        </row>
        <row r="84">
          <cell r="D84" t="str">
            <v>SUB TOTAL  VIII</v>
          </cell>
          <cell r="L84">
            <v>2270000</v>
          </cell>
        </row>
        <row r="85">
          <cell r="B85" t="str">
            <v>IX</v>
          </cell>
          <cell r="D85" t="str">
            <v>PEKERJAAN PENGECATAN</v>
          </cell>
        </row>
        <row r="86">
          <cell r="B86">
            <v>1</v>
          </cell>
          <cell r="D86" t="str">
            <v>Pengecatan Dinding &amp; Plafon</v>
          </cell>
          <cell r="H86" t="str">
            <v>G.53.1</v>
          </cell>
          <cell r="I86">
            <v>527.37300000000005</v>
          </cell>
          <cell r="J86" t="str">
            <v>M2</v>
          </cell>
          <cell r="K86">
            <v>7561</v>
          </cell>
          <cell r="L86">
            <v>3987467.25</v>
          </cell>
        </row>
        <row r="87">
          <cell r="B87">
            <v>2</v>
          </cell>
          <cell r="D87" t="str">
            <v>Cat Kusen,Pintu,Jendela &amp; Listplank</v>
          </cell>
          <cell r="H87" t="str">
            <v>Supl.IX.1</v>
          </cell>
          <cell r="I87">
            <v>47.83</v>
          </cell>
          <cell r="J87" t="str">
            <v>M2</v>
          </cell>
          <cell r="K87">
            <v>14171.75</v>
          </cell>
          <cell r="L87">
            <v>677834.8</v>
          </cell>
        </row>
        <row r="88">
          <cell r="D88" t="str">
            <v>SUB TOTAL  IX</v>
          </cell>
          <cell r="L88">
            <v>4665302.05</v>
          </cell>
        </row>
        <row r="89">
          <cell r="B89" t="str">
            <v>A</v>
          </cell>
          <cell r="D89" t="str">
            <v>JUMLAH</v>
          </cell>
          <cell r="L89">
            <v>181818600.92000002</v>
          </cell>
        </row>
        <row r="90">
          <cell r="B90" t="str">
            <v>B</v>
          </cell>
          <cell r="D90" t="str">
            <v>PPN 10%</v>
          </cell>
          <cell r="L90">
            <v>18181860.09</v>
          </cell>
        </row>
        <row r="91">
          <cell r="B91" t="str">
            <v>C</v>
          </cell>
          <cell r="D91" t="str">
            <v>JUMLAH  (A+B)</v>
          </cell>
          <cell r="L91">
            <v>200000461.01000002</v>
          </cell>
        </row>
        <row r="92">
          <cell r="B92" t="str">
            <v>D</v>
          </cell>
          <cell r="D92" t="str">
            <v>JUMLAH DIBULATKAN</v>
          </cell>
          <cell r="L92">
            <v>200000000</v>
          </cell>
        </row>
        <row r="93">
          <cell r="N93" t="str">
            <v>REKAPITULASI RENCANA ANGGARAN BIAYA</v>
          </cell>
        </row>
        <row r="94">
          <cell r="N94" t="str">
            <v>OWNER'S ESTIMATE</v>
          </cell>
        </row>
        <row r="96">
          <cell r="N96" t="str">
            <v>Kode Paket</v>
          </cell>
          <cell r="O96" t="str">
            <v>:</v>
          </cell>
          <cell r="P96" t="str">
            <v>D.118</v>
          </cell>
        </row>
        <row r="97">
          <cell r="N97" t="str">
            <v>Propinsi</v>
          </cell>
          <cell r="O97" t="str">
            <v>:</v>
          </cell>
          <cell r="P97" t="str">
            <v>Lampung</v>
          </cell>
        </row>
        <row r="98">
          <cell r="N98" t="str">
            <v>Kota</v>
          </cell>
          <cell r="O98" t="str">
            <v>:</v>
          </cell>
          <cell r="P98" t="str">
            <v>Bandar Lampung</v>
          </cell>
        </row>
        <row r="99">
          <cell r="N99" t="str">
            <v>Kelurahan</v>
          </cell>
          <cell r="O99" t="str">
            <v>:</v>
          </cell>
          <cell r="P99" t="str">
            <v>Kelurahan Sukamaju</v>
          </cell>
        </row>
        <row r="100">
          <cell r="N100" t="str">
            <v>Kegiatan</v>
          </cell>
          <cell r="O100" t="str">
            <v>:</v>
          </cell>
          <cell r="P100" t="str">
            <v>Pembangunan Sekolah</v>
          </cell>
        </row>
        <row r="101">
          <cell r="N101" t="str">
            <v>Pekerjaan</v>
          </cell>
          <cell r="O101" t="str">
            <v>:</v>
          </cell>
          <cell r="P101" t="str">
            <v>Pembangunan LAB IPA SMA Negeri 11 Bandar Lampung</v>
          </cell>
        </row>
        <row r="102">
          <cell r="N102" t="str">
            <v>Tahun Anggaran</v>
          </cell>
          <cell r="O102" t="str">
            <v>:</v>
          </cell>
          <cell r="P102">
            <v>2006</v>
          </cell>
        </row>
        <row r="104">
          <cell r="N104" t="str">
            <v>NO.</v>
          </cell>
          <cell r="O104" t="str">
            <v>URAIAN  PEKERJAAN</v>
          </cell>
          <cell r="U104" t="str">
            <v>TOTAL</v>
          </cell>
        </row>
        <row r="105">
          <cell r="U105" t="str">
            <v>HARGA</v>
          </cell>
        </row>
        <row r="106">
          <cell r="U106" t="str">
            <v>(Rp)</v>
          </cell>
        </row>
        <row r="107">
          <cell r="N107" t="str">
            <v>I</v>
          </cell>
          <cell r="P107" t="str">
            <v>PEKERJAAN PERSIAPAN</v>
          </cell>
          <cell r="U107">
            <v>1600000</v>
          </cell>
        </row>
        <row r="108">
          <cell r="N108" t="str">
            <v>II</v>
          </cell>
          <cell r="P108" t="str">
            <v>PEKERJAAN TANAH</v>
          </cell>
          <cell r="U108">
            <v>2735958.4</v>
          </cell>
        </row>
        <row r="109">
          <cell r="N109" t="str">
            <v>III</v>
          </cell>
          <cell r="P109" t="str">
            <v>PEKERJAAN  PASANGAN</v>
          </cell>
          <cell r="U109">
            <v>48089865.860000007</v>
          </cell>
        </row>
        <row r="110">
          <cell r="N110" t="str">
            <v>IV</v>
          </cell>
          <cell r="P110" t="str">
            <v>PEKERJAAN BETON</v>
          </cell>
          <cell r="U110">
            <v>23501121.560000002</v>
          </cell>
        </row>
        <row r="111">
          <cell r="N111" t="str">
            <v>V</v>
          </cell>
          <cell r="P111" t="str">
            <v>PEKERJAAN KUSEN</v>
          </cell>
          <cell r="U111">
            <v>17207413.800000001</v>
          </cell>
        </row>
        <row r="112">
          <cell r="N112" t="str">
            <v>VI</v>
          </cell>
          <cell r="P112" t="str">
            <v>PEKERJAAN ATAP &amp; PLAFON</v>
          </cell>
          <cell r="U112">
            <v>80685403.25</v>
          </cell>
        </row>
        <row r="113">
          <cell r="N113" t="str">
            <v>VII</v>
          </cell>
          <cell r="P113" t="str">
            <v>PEKERJAAN INSTALASI AIR</v>
          </cell>
          <cell r="U113">
            <v>1063536</v>
          </cell>
        </row>
        <row r="114">
          <cell r="N114" t="str">
            <v>VIII</v>
          </cell>
          <cell r="P114" t="str">
            <v>PEKERJAAN INSTALASI LISTRIK</v>
          </cell>
          <cell r="U114">
            <v>2270000</v>
          </cell>
        </row>
        <row r="115">
          <cell r="N115" t="str">
            <v>IX</v>
          </cell>
          <cell r="P115" t="str">
            <v>PEKERJAAN PENGECATAN</v>
          </cell>
          <cell r="U115">
            <v>4665302.05</v>
          </cell>
        </row>
        <row r="116">
          <cell r="P116" t="str">
            <v>JUMLAH ( I  s/d.  IX)</v>
          </cell>
          <cell r="U116">
            <v>181818600.92000002</v>
          </cell>
        </row>
        <row r="117">
          <cell r="P117" t="str">
            <v>PPN 10%</v>
          </cell>
          <cell r="U117">
            <v>18181860.092000004</v>
          </cell>
        </row>
        <row r="118">
          <cell r="P118" t="str">
            <v>TOTAL</v>
          </cell>
          <cell r="U118">
            <v>200000461.01200002</v>
          </cell>
        </row>
        <row r="119">
          <cell r="P119" t="str">
            <v>DIBULATKAN</v>
          </cell>
          <cell r="U119">
            <v>200000000</v>
          </cell>
        </row>
        <row r="121">
          <cell r="N121" t="str">
            <v>Terbilang</v>
          </cell>
          <cell r="O121" t="str">
            <v>:</v>
          </cell>
          <cell r="P121" t="str">
            <v>Dua Ratus Juta Rupiah</v>
          </cell>
        </row>
        <row r="124">
          <cell r="R124" t="str">
            <v>Bandar Lampung,      Juli 2006</v>
          </cell>
        </row>
        <row r="125">
          <cell r="N125" t="str">
            <v>Disetujui</v>
          </cell>
        </row>
        <row r="126">
          <cell r="N126" t="str">
            <v>Pejabat Pembuat Komitmen/Pimpinan Kegiatan</v>
          </cell>
          <cell r="R126" t="str">
            <v>PANITIA PELELANGAN</v>
          </cell>
        </row>
        <row r="127">
          <cell r="N127" t="str">
            <v>Pembangunan Sekolah</v>
          </cell>
        </row>
        <row r="132">
          <cell r="N132" t="str">
            <v>Hi. IBRAHIM, ST, MM</v>
          </cell>
          <cell r="R132" t="str">
            <v>FAISOL MUCHTAR,ST</v>
          </cell>
        </row>
        <row r="133">
          <cell r="N133" t="str">
            <v>NIP.460017324</v>
          </cell>
          <cell r="R133" t="str">
            <v>NIP. 460021411</v>
          </cell>
        </row>
      </sheetData>
      <sheetData sheetId="22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D.119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/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Gedung Perpustakaan SMA Negeri 13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350000</v>
          </cell>
          <cell r="L16">
            <v>350000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250000</v>
          </cell>
          <cell r="L19">
            <v>250000</v>
          </cell>
        </row>
        <row r="20">
          <cell r="B20">
            <v>5</v>
          </cell>
          <cell r="D20" t="str">
            <v>Dokumentasi Foto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500000</v>
          </cell>
          <cell r="L20">
            <v>500000</v>
          </cell>
        </row>
        <row r="21">
          <cell r="D21" t="str">
            <v>SUB TOTAL  I</v>
          </cell>
          <cell r="L21">
            <v>1600000</v>
          </cell>
        </row>
        <row r="22">
          <cell r="B22" t="str">
            <v>II</v>
          </cell>
          <cell r="D22" t="str">
            <v>PEKERJAAN TANAH</v>
          </cell>
        </row>
        <row r="24">
          <cell r="B24">
            <v>1</v>
          </cell>
          <cell r="D24" t="str">
            <v>Galian Tanah Pondasi</v>
          </cell>
          <cell r="H24" t="str">
            <v>A.1</v>
          </cell>
          <cell r="I24">
            <v>26.75</v>
          </cell>
          <cell r="J24" t="str">
            <v>M3</v>
          </cell>
          <cell r="K24">
            <v>19775</v>
          </cell>
          <cell r="L24">
            <v>528981.25</v>
          </cell>
        </row>
        <row r="25">
          <cell r="B25">
            <v>2</v>
          </cell>
          <cell r="D25" t="str">
            <v>Urugan Tanah</v>
          </cell>
          <cell r="H25" t="str">
            <v>A.17</v>
          </cell>
          <cell r="I25">
            <v>7.7</v>
          </cell>
          <cell r="J25" t="str">
            <v>M3</v>
          </cell>
          <cell r="K25">
            <v>6660</v>
          </cell>
          <cell r="L25">
            <v>51282</v>
          </cell>
        </row>
        <row r="26">
          <cell r="B26">
            <v>3</v>
          </cell>
          <cell r="D26" t="str">
            <v>Urugan Pasir Bawah Pondasi</v>
          </cell>
          <cell r="H26" t="str">
            <v>A.18</v>
          </cell>
          <cell r="I26">
            <v>6.05</v>
          </cell>
          <cell r="J26" t="str">
            <v>M3</v>
          </cell>
          <cell r="K26">
            <v>146691.20000000001</v>
          </cell>
          <cell r="L26">
            <v>887481.76</v>
          </cell>
        </row>
        <row r="27">
          <cell r="B27">
            <v>4</v>
          </cell>
          <cell r="D27" t="str">
            <v>Urugan Pasir Bawah Lantai</v>
          </cell>
          <cell r="H27" t="str">
            <v>A.18</v>
          </cell>
          <cell r="I27">
            <v>16.8</v>
          </cell>
          <cell r="J27" t="str">
            <v>M3</v>
          </cell>
          <cell r="K27">
            <v>146691.20000000001</v>
          </cell>
          <cell r="L27">
            <v>2464412.16</v>
          </cell>
        </row>
        <row r="28">
          <cell r="D28" t="str">
            <v>SUB TOTAL  II</v>
          </cell>
          <cell r="L28">
            <v>3932157.17</v>
          </cell>
        </row>
        <row r="29">
          <cell r="B29" t="str">
            <v>III</v>
          </cell>
          <cell r="D29" t="str">
            <v>PEKERJAAN  PASANGAN</v>
          </cell>
        </row>
        <row r="30">
          <cell r="B30">
            <v>1</v>
          </cell>
          <cell r="D30" t="str">
            <v>Pas. Batu Belah Hitam</v>
          </cell>
          <cell r="H30" t="str">
            <v>G.32h+G.26(a)</v>
          </cell>
          <cell r="I30">
            <v>23.513000000000002</v>
          </cell>
          <cell r="J30" t="str">
            <v>M3</v>
          </cell>
          <cell r="K30">
            <v>527127.02</v>
          </cell>
          <cell r="L30">
            <v>12394337.619999999</v>
          </cell>
        </row>
        <row r="31">
          <cell r="B31">
            <v>2</v>
          </cell>
          <cell r="D31" t="str">
            <v>Pas. Dinding Bata adukan 1 : 4</v>
          </cell>
          <cell r="H31" t="str">
            <v>G.33h+G.32a</v>
          </cell>
          <cell r="I31">
            <v>20.9</v>
          </cell>
          <cell r="J31" t="str">
            <v>M3</v>
          </cell>
          <cell r="K31">
            <v>383258.81</v>
          </cell>
          <cell r="L31">
            <v>8010109.1299999999</v>
          </cell>
        </row>
        <row r="32">
          <cell r="B32">
            <v>3</v>
          </cell>
          <cell r="D32" t="str">
            <v>Pas. Plesteran adukan 1 : 4</v>
          </cell>
          <cell r="H32" t="str">
            <v>G.50q+G.48</v>
          </cell>
          <cell r="I32">
            <v>418</v>
          </cell>
          <cell r="J32" t="str">
            <v>M2</v>
          </cell>
          <cell r="K32">
            <v>19133.61</v>
          </cell>
          <cell r="L32">
            <v>7997848.9800000004</v>
          </cell>
        </row>
        <row r="33">
          <cell r="B33">
            <v>4</v>
          </cell>
          <cell r="D33" t="str">
            <v>Pas. Lantai floor adukan 1 : 3</v>
          </cell>
          <cell r="H33" t="str">
            <v>G.51i</v>
          </cell>
          <cell r="I33">
            <v>140</v>
          </cell>
          <cell r="J33" t="str">
            <v>M2</v>
          </cell>
          <cell r="K33">
            <v>27805.629999999997</v>
          </cell>
          <cell r="L33">
            <v>3892788.2</v>
          </cell>
        </row>
        <row r="34">
          <cell r="B34">
            <v>5</v>
          </cell>
          <cell r="D34" t="str">
            <v>Pas. Saluran Air Keliling Bangunan</v>
          </cell>
          <cell r="H34" t="str">
            <v>G.81</v>
          </cell>
          <cell r="I34">
            <v>56</v>
          </cell>
          <cell r="J34" t="str">
            <v>M'</v>
          </cell>
          <cell r="K34">
            <v>70725.08</v>
          </cell>
          <cell r="L34">
            <v>3960604.48</v>
          </cell>
        </row>
        <row r="35">
          <cell r="B35">
            <v>6</v>
          </cell>
          <cell r="D35" t="str">
            <v>Pas. Rabat beton tak bertulng</v>
          </cell>
          <cell r="H35" t="str">
            <v>G.41</v>
          </cell>
          <cell r="I35">
            <v>5.6</v>
          </cell>
          <cell r="J35" t="str">
            <v>M3</v>
          </cell>
          <cell r="K35">
            <v>701589.14</v>
          </cell>
          <cell r="L35">
            <v>3928899.18</v>
          </cell>
        </row>
        <row r="36">
          <cell r="B36">
            <v>7</v>
          </cell>
          <cell r="D36" t="str">
            <v>Pas. Keramik Lantai 30/30</v>
          </cell>
          <cell r="H36" t="str">
            <v>Supl.III(d)</v>
          </cell>
          <cell r="I36">
            <v>140</v>
          </cell>
          <cell r="J36" t="str">
            <v>M2</v>
          </cell>
          <cell r="K36">
            <v>64891.59</v>
          </cell>
          <cell r="L36">
            <v>9084822.5999999996</v>
          </cell>
        </row>
        <row r="37">
          <cell r="B37">
            <v>8</v>
          </cell>
          <cell r="D37" t="str">
            <v>Pas. Paving block</v>
          </cell>
          <cell r="H37" t="str">
            <v>G.60.1(b)</v>
          </cell>
          <cell r="I37">
            <v>116.20099999999999</v>
          </cell>
          <cell r="J37" t="str">
            <v>M2</v>
          </cell>
          <cell r="K37">
            <v>56815.1</v>
          </cell>
          <cell r="L37">
            <v>6601971.4400000004</v>
          </cell>
        </row>
        <row r="38">
          <cell r="D38" t="str">
            <v>SUB TOTAL  III</v>
          </cell>
          <cell r="L38">
            <v>55871381.629999995</v>
          </cell>
        </row>
        <row r="39">
          <cell r="B39" t="str">
            <v>IV</v>
          </cell>
          <cell r="D39" t="str">
            <v>PEKERJAAN BETON</v>
          </cell>
        </row>
        <row r="40">
          <cell r="B40">
            <v>1</v>
          </cell>
          <cell r="D40" t="str">
            <v>Cor Beton Sloof 15/20 (1:2:3)</v>
          </cell>
          <cell r="H40" t="str">
            <v>G.41+3/4 I.2(a)+1/2 F.8</v>
          </cell>
          <cell r="I40">
            <v>1.9</v>
          </cell>
          <cell r="J40" t="str">
            <v>M3</v>
          </cell>
          <cell r="K40">
            <v>2649475.14</v>
          </cell>
          <cell r="L40">
            <v>5034002.7699999996</v>
          </cell>
        </row>
        <row r="41">
          <cell r="B41">
            <v>2</v>
          </cell>
          <cell r="D41" t="str">
            <v>Cor Beton Kolom Praktis 20/20 (1:2:3)</v>
          </cell>
          <cell r="H41" t="str">
            <v>G.41+3/4 I.2(b)+1/2 F.8</v>
          </cell>
          <cell r="I41">
            <v>2.3759999999999999</v>
          </cell>
          <cell r="J41" t="str">
            <v>M3</v>
          </cell>
          <cell r="K41">
            <v>2846717.78</v>
          </cell>
          <cell r="L41">
            <v>6763801.4500000002</v>
          </cell>
        </row>
        <row r="42">
          <cell r="B42">
            <v>3</v>
          </cell>
          <cell r="D42" t="str">
            <v>Cor Beton Ringbalk 15/20 (1:2:3)</v>
          </cell>
          <cell r="H42" t="str">
            <v>G.41+3/4 I.2(b)+1/2 F.8</v>
          </cell>
          <cell r="I42">
            <v>1.9</v>
          </cell>
          <cell r="J42" t="str">
            <v>M3</v>
          </cell>
          <cell r="K42">
            <v>2846717.78</v>
          </cell>
          <cell r="L42">
            <v>5408763.7800000003</v>
          </cell>
        </row>
        <row r="43">
          <cell r="D43" t="str">
            <v>SUB TOTAL  IV</v>
          </cell>
          <cell r="L43">
            <v>17206568</v>
          </cell>
        </row>
        <row r="44">
          <cell r="B44" t="str">
            <v>V</v>
          </cell>
          <cell r="D44" t="str">
            <v>PEKERJAAN KUSEN</v>
          </cell>
        </row>
        <row r="45">
          <cell r="B45">
            <v>1</v>
          </cell>
          <cell r="D45" t="str">
            <v>Pas. Kusen Pintu &amp; Jendela (Kayu kls II)</v>
          </cell>
          <cell r="H45" t="str">
            <v>F.27(b)</v>
          </cell>
          <cell r="I45">
            <v>1.363</v>
          </cell>
          <cell r="J45" t="str">
            <v>M3</v>
          </cell>
          <cell r="K45">
            <v>3180138</v>
          </cell>
          <cell r="L45">
            <v>4334528.09</v>
          </cell>
        </row>
        <row r="46">
          <cell r="B46">
            <v>2</v>
          </cell>
          <cell r="D46" t="str">
            <v>Pas. Daun Pintu Panel Kayu Kelas II</v>
          </cell>
          <cell r="H46" t="str">
            <v>F.33(b)</v>
          </cell>
          <cell r="I46">
            <v>7.2</v>
          </cell>
          <cell r="J46" t="str">
            <v>M2</v>
          </cell>
          <cell r="K46">
            <v>474231</v>
          </cell>
          <cell r="L46">
            <v>3414463.2</v>
          </cell>
        </row>
        <row r="47">
          <cell r="B47">
            <v>4</v>
          </cell>
          <cell r="D47" t="str">
            <v>Pas. Daun Jendela (Kaca Polos 5 mm) Kayu Kelas II</v>
          </cell>
          <cell r="H47" t="str">
            <v>F.36(d)</v>
          </cell>
          <cell r="I47">
            <v>15.12</v>
          </cell>
          <cell r="J47" t="str">
            <v>M2</v>
          </cell>
          <cell r="K47">
            <v>435778</v>
          </cell>
          <cell r="L47">
            <v>6588963.3600000003</v>
          </cell>
        </row>
        <row r="48">
          <cell r="B48">
            <v>5</v>
          </cell>
          <cell r="D48" t="str">
            <v>Pas. Jalusi Kayu Kelas II</v>
          </cell>
          <cell r="H48" t="str">
            <v>F.31(a)</v>
          </cell>
          <cell r="I48">
            <v>13.56</v>
          </cell>
          <cell r="J48" t="str">
            <v>M2</v>
          </cell>
          <cell r="K48">
            <v>184030.5</v>
          </cell>
          <cell r="L48">
            <v>2495453.58</v>
          </cell>
        </row>
        <row r="49">
          <cell r="B49">
            <v>6</v>
          </cell>
          <cell r="D49" t="str">
            <v>Pas. Engsel Pintu @ 3 bh</v>
          </cell>
          <cell r="H49" t="str">
            <v>Supl.BMPK.2(a)</v>
          </cell>
          <cell r="I49">
            <v>12</v>
          </cell>
          <cell r="J49" t="str">
            <v>Bh</v>
          </cell>
          <cell r="K49">
            <v>8266</v>
          </cell>
          <cell r="L49">
            <v>99192</v>
          </cell>
        </row>
        <row r="50">
          <cell r="B50">
            <v>7</v>
          </cell>
          <cell r="D50" t="str">
            <v>Pas. Engsel Jendela @ 3 bh</v>
          </cell>
          <cell r="H50" t="str">
            <v>Supl.BMPK.2(b)</v>
          </cell>
          <cell r="I50">
            <v>48</v>
          </cell>
          <cell r="J50" t="str">
            <v>Bh</v>
          </cell>
          <cell r="K50">
            <v>7066</v>
          </cell>
          <cell r="L50">
            <v>339168</v>
          </cell>
        </row>
        <row r="51">
          <cell r="B51">
            <v>8</v>
          </cell>
          <cell r="D51" t="str">
            <v>Pas. Grendel Jendela</v>
          </cell>
          <cell r="H51" t="str">
            <v>Supl.BMPK.5(a)</v>
          </cell>
          <cell r="I51">
            <v>48</v>
          </cell>
          <cell r="J51" t="str">
            <v>Bh</v>
          </cell>
          <cell r="K51">
            <v>6566</v>
          </cell>
          <cell r="L51">
            <v>315168</v>
          </cell>
        </row>
        <row r="52">
          <cell r="B52">
            <v>9</v>
          </cell>
          <cell r="D52" t="str">
            <v>Pas. Tarikan Jendela</v>
          </cell>
          <cell r="H52" t="str">
            <v>Supl.BMPK.3(a)</v>
          </cell>
          <cell r="I52">
            <v>24</v>
          </cell>
          <cell r="J52" t="str">
            <v>Bh</v>
          </cell>
          <cell r="K52">
            <v>11066</v>
          </cell>
          <cell r="L52">
            <v>265584</v>
          </cell>
        </row>
        <row r="53">
          <cell r="B53">
            <v>10</v>
          </cell>
          <cell r="D53" t="str">
            <v>Pas. Hak Angin</v>
          </cell>
          <cell r="H53" t="str">
            <v>Supl.BMPK.4</v>
          </cell>
          <cell r="I53">
            <v>48</v>
          </cell>
          <cell r="J53" t="str">
            <v>Bh</v>
          </cell>
          <cell r="K53">
            <v>4066</v>
          </cell>
          <cell r="L53">
            <v>195168</v>
          </cell>
        </row>
        <row r="54">
          <cell r="B54">
            <v>11</v>
          </cell>
          <cell r="D54" t="str">
            <v>Pas. Kunci Tanam 2 x Putar</v>
          </cell>
          <cell r="H54" t="str">
            <v>Supl.BMPK.1(a)</v>
          </cell>
          <cell r="I54">
            <v>3</v>
          </cell>
          <cell r="J54" t="str">
            <v>Bh</v>
          </cell>
          <cell r="K54">
            <v>74000</v>
          </cell>
          <cell r="L54">
            <v>222000</v>
          </cell>
        </row>
        <row r="55">
          <cell r="D55" t="str">
            <v>SUB TOTAL  V</v>
          </cell>
          <cell r="L55">
            <v>18269688.23</v>
          </cell>
        </row>
        <row r="56">
          <cell r="B56" t="str">
            <v>VI</v>
          </cell>
          <cell r="D56" t="str">
            <v>PEKERJAAN ATAP &amp; PLAFON</v>
          </cell>
        </row>
        <row r="57">
          <cell r="B57">
            <v>1</v>
          </cell>
          <cell r="D57" t="str">
            <v>Pas. Kuda-Kuda Kayu 8/12 Kayu Kelas II</v>
          </cell>
          <cell r="H57" t="str">
            <v>F.22(a)</v>
          </cell>
          <cell r="I57">
            <v>4.1859999999999999</v>
          </cell>
          <cell r="J57" t="str">
            <v>M3</v>
          </cell>
          <cell r="K57">
            <v>3481800</v>
          </cell>
          <cell r="L57">
            <v>14574814.800000001</v>
          </cell>
        </row>
        <row r="58">
          <cell r="B58">
            <v>2</v>
          </cell>
          <cell r="D58" t="str">
            <v>Pas. Rangka Atap Kayu Kelas II</v>
          </cell>
          <cell r="H58" t="str">
            <v>F.16</v>
          </cell>
          <cell r="I58">
            <v>213.87</v>
          </cell>
          <cell r="J58" t="str">
            <v>M2</v>
          </cell>
          <cell r="K58">
            <v>17602</v>
          </cell>
          <cell r="L58">
            <v>3764539.74</v>
          </cell>
        </row>
        <row r="59">
          <cell r="B59">
            <v>3</v>
          </cell>
          <cell r="D59" t="str">
            <v>Pas. Penutup Atap (Genteng Mantili)</v>
          </cell>
          <cell r="H59" t="str">
            <v>H.2(c)</v>
          </cell>
          <cell r="I59">
            <v>213.12</v>
          </cell>
          <cell r="J59" t="str">
            <v>M2</v>
          </cell>
          <cell r="K59">
            <v>22120</v>
          </cell>
          <cell r="L59">
            <v>4714214.4000000004</v>
          </cell>
        </row>
        <row r="60">
          <cell r="B60">
            <v>4</v>
          </cell>
          <cell r="D60" t="str">
            <v>Pas. Karpus Genteng Mantili</v>
          </cell>
          <cell r="H60" t="str">
            <v>H.6+G.16(c)</v>
          </cell>
          <cell r="I60">
            <v>33.4</v>
          </cell>
          <cell r="J60" t="str">
            <v>M'</v>
          </cell>
          <cell r="K60">
            <v>31740</v>
          </cell>
          <cell r="L60">
            <v>1060116</v>
          </cell>
        </row>
        <row r="61">
          <cell r="B61">
            <v>5</v>
          </cell>
          <cell r="D61" t="str">
            <v>Pas. Rangka Plafon (Kayu kls III)</v>
          </cell>
          <cell r="H61" t="str">
            <v>F.1.1</v>
          </cell>
          <cell r="I61">
            <v>2.8220000000000001</v>
          </cell>
          <cell r="J61" t="str">
            <v>M3</v>
          </cell>
          <cell r="K61">
            <v>2685950</v>
          </cell>
          <cell r="L61">
            <v>7579750.9000000004</v>
          </cell>
        </row>
        <row r="62">
          <cell r="B62">
            <v>6</v>
          </cell>
          <cell r="D62" t="str">
            <v>Pas. Plafon (Triplek 3 mm)</v>
          </cell>
          <cell r="H62" t="str">
            <v>D.12(a)</v>
          </cell>
          <cell r="I62">
            <v>192</v>
          </cell>
          <cell r="J62" t="str">
            <v>M2</v>
          </cell>
          <cell r="K62">
            <v>23115</v>
          </cell>
          <cell r="L62">
            <v>4438080</v>
          </cell>
        </row>
        <row r="63">
          <cell r="B63">
            <v>7</v>
          </cell>
          <cell r="D63" t="str">
            <v>Pas. List  Profil siku  5  cm</v>
          </cell>
          <cell r="H63" t="str">
            <v>Supl.BMPK.15</v>
          </cell>
          <cell r="I63">
            <v>138</v>
          </cell>
          <cell r="J63" t="str">
            <v>M'</v>
          </cell>
          <cell r="K63">
            <v>24235</v>
          </cell>
          <cell r="L63">
            <v>3344430</v>
          </cell>
        </row>
        <row r="64">
          <cell r="B64">
            <v>8</v>
          </cell>
          <cell r="D64" t="str">
            <v>Pas. Listplank (Papan 3/25 Kayu kls II)</v>
          </cell>
          <cell r="H64" t="str">
            <v>F.21</v>
          </cell>
          <cell r="I64">
            <v>14</v>
          </cell>
          <cell r="J64" t="str">
            <v>M2</v>
          </cell>
          <cell r="K64">
            <v>93324</v>
          </cell>
          <cell r="L64">
            <v>1306536</v>
          </cell>
        </row>
        <row r="65">
          <cell r="D65" t="str">
            <v>SUB TOTAL  VI</v>
          </cell>
          <cell r="L65">
            <v>40782481.839999996</v>
          </cell>
        </row>
        <row r="66">
          <cell r="B66" t="str">
            <v>VII</v>
          </cell>
          <cell r="D66" t="str">
            <v>PEKERJAAN INSTALASI LISTRIK</v>
          </cell>
        </row>
        <row r="67">
          <cell r="B67">
            <v>1</v>
          </cell>
          <cell r="D67" t="str">
            <v>Instalasi Listrik</v>
          </cell>
          <cell r="H67" t="str">
            <v>Dihitung</v>
          </cell>
          <cell r="I67">
            <v>16</v>
          </cell>
          <cell r="J67" t="str">
            <v>Titik</v>
          </cell>
          <cell r="K67">
            <v>32500</v>
          </cell>
          <cell r="L67">
            <v>520000</v>
          </cell>
        </row>
        <row r="68">
          <cell r="B68">
            <v>2</v>
          </cell>
          <cell r="D68" t="str">
            <v>Stop Kontak kualitas baik</v>
          </cell>
          <cell r="H68" t="str">
            <v>Dihitung</v>
          </cell>
          <cell r="I68">
            <v>3</v>
          </cell>
          <cell r="J68" t="str">
            <v>Bh</v>
          </cell>
          <cell r="K68">
            <v>25000</v>
          </cell>
          <cell r="L68">
            <v>75000</v>
          </cell>
        </row>
        <row r="69">
          <cell r="B69">
            <v>3</v>
          </cell>
          <cell r="D69" t="str">
            <v>Sakelar Tunggal Kualitas baik</v>
          </cell>
          <cell r="H69" t="str">
            <v>Dihitung</v>
          </cell>
          <cell r="I69">
            <v>3</v>
          </cell>
          <cell r="J69" t="str">
            <v>Bh</v>
          </cell>
          <cell r="K69">
            <v>15000</v>
          </cell>
          <cell r="L69">
            <v>45000</v>
          </cell>
        </row>
        <row r="70">
          <cell r="B70">
            <v>4</v>
          </cell>
          <cell r="D70" t="str">
            <v>Lampu TL = 1 x 20 Watt Lengkap</v>
          </cell>
          <cell r="H70" t="str">
            <v>Dihitung</v>
          </cell>
          <cell r="I70">
            <v>2</v>
          </cell>
          <cell r="J70" t="str">
            <v>Bh</v>
          </cell>
          <cell r="K70">
            <v>45000</v>
          </cell>
          <cell r="L70">
            <v>90000</v>
          </cell>
        </row>
        <row r="71">
          <cell r="B71">
            <v>5</v>
          </cell>
          <cell r="D71" t="str">
            <v>Lampu Pijar 25 Watt</v>
          </cell>
          <cell r="H71" t="str">
            <v>Dihitung</v>
          </cell>
          <cell r="I71">
            <v>5</v>
          </cell>
          <cell r="J71" t="str">
            <v>Bh</v>
          </cell>
          <cell r="K71">
            <v>5000</v>
          </cell>
          <cell r="L71">
            <v>25000</v>
          </cell>
        </row>
        <row r="72">
          <cell r="B72">
            <v>6</v>
          </cell>
          <cell r="D72" t="str">
            <v>Biaya Penyambungan PLN 1.300 KVA</v>
          </cell>
          <cell r="H72" t="str">
            <v>Dihitung</v>
          </cell>
          <cell r="I72">
            <v>1</v>
          </cell>
          <cell r="J72" t="str">
            <v>Unit</v>
          </cell>
          <cell r="K72">
            <v>1500000</v>
          </cell>
          <cell r="L72">
            <v>1500000</v>
          </cell>
        </row>
        <row r="73">
          <cell r="D73" t="str">
            <v>SUB TOTAL  VII</v>
          </cell>
          <cell r="L73">
            <v>2255000</v>
          </cell>
        </row>
        <row r="74">
          <cell r="B74" t="str">
            <v>VIII</v>
          </cell>
          <cell r="D74" t="str">
            <v>PEKERJAAN PENGECATAN</v>
          </cell>
        </row>
        <row r="75">
          <cell r="B75">
            <v>1</v>
          </cell>
          <cell r="D75" t="str">
            <v>Pengecatan Dinding &amp; Plafon</v>
          </cell>
          <cell r="H75" t="str">
            <v>G.53.1</v>
          </cell>
          <cell r="I75">
            <v>610</v>
          </cell>
          <cell r="J75" t="str">
            <v>M2</v>
          </cell>
          <cell r="K75">
            <v>7561</v>
          </cell>
          <cell r="L75">
            <v>4612210</v>
          </cell>
        </row>
        <row r="76">
          <cell r="B76">
            <v>2</v>
          </cell>
          <cell r="D76" t="str">
            <v>Cat Kusen,Pintu,Jendela &amp; Listplank</v>
          </cell>
          <cell r="H76" t="str">
            <v>Supl.IX.1</v>
          </cell>
          <cell r="I76">
            <v>65.303999999999988</v>
          </cell>
          <cell r="J76" t="str">
            <v>M2</v>
          </cell>
          <cell r="K76">
            <v>14171.75</v>
          </cell>
          <cell r="L76">
            <v>925471.96</v>
          </cell>
        </row>
        <row r="77">
          <cell r="D77" t="str">
            <v>SUB TOTAL  VIII</v>
          </cell>
          <cell r="L77">
            <v>5537681.96</v>
          </cell>
        </row>
        <row r="78">
          <cell r="B78" t="str">
            <v>A</v>
          </cell>
          <cell r="D78" t="str">
            <v>JUMLAH</v>
          </cell>
          <cell r="L78">
            <v>145454958.82999998</v>
          </cell>
        </row>
        <row r="79">
          <cell r="B79" t="str">
            <v>B</v>
          </cell>
          <cell r="D79" t="str">
            <v>PPN 10%</v>
          </cell>
          <cell r="L79">
            <v>14545495.880000001</v>
          </cell>
        </row>
        <row r="80">
          <cell r="B80" t="str">
            <v>C</v>
          </cell>
          <cell r="D80" t="str">
            <v>JUMLAH  (A+B)</v>
          </cell>
          <cell r="L80">
            <v>160000454.70999998</v>
          </cell>
        </row>
        <row r="81">
          <cell r="B81" t="str">
            <v>D</v>
          </cell>
          <cell r="D81" t="str">
            <v>JUMLAH DIBULATKAN</v>
          </cell>
          <cell r="L81">
            <v>160000000</v>
          </cell>
        </row>
        <row r="82">
          <cell r="N82" t="str">
            <v>REKAPITULASI RENCANA ANGGARAN BIAYA</v>
          </cell>
        </row>
        <row r="83">
          <cell r="N83" t="str">
            <v>OWNER'S ESTIMATE</v>
          </cell>
        </row>
        <row r="85">
          <cell r="N85" t="str">
            <v>Kode Paket</v>
          </cell>
          <cell r="O85" t="str">
            <v>:</v>
          </cell>
          <cell r="P85" t="str">
            <v>D.119</v>
          </cell>
        </row>
        <row r="86">
          <cell r="N86" t="str">
            <v>Propinsi</v>
          </cell>
          <cell r="O86" t="str">
            <v>:</v>
          </cell>
          <cell r="P86" t="str">
            <v>Lampung</v>
          </cell>
        </row>
        <row r="87">
          <cell r="N87" t="str">
            <v>Kota</v>
          </cell>
          <cell r="O87" t="str">
            <v>:</v>
          </cell>
          <cell r="P87" t="str">
            <v>Bandar Lampung</v>
          </cell>
        </row>
        <row r="88">
          <cell r="N88" t="str">
            <v>Kelurahan</v>
          </cell>
          <cell r="O88" t="str">
            <v>:</v>
          </cell>
          <cell r="P88" t="str">
            <v/>
          </cell>
        </row>
        <row r="89">
          <cell r="N89" t="str">
            <v>Kegiatan</v>
          </cell>
          <cell r="O89" t="str">
            <v>:</v>
          </cell>
          <cell r="P89" t="str">
            <v>Pembangunan Sekolah</v>
          </cell>
        </row>
        <row r="90">
          <cell r="N90" t="str">
            <v>Pekerjaan</v>
          </cell>
          <cell r="O90" t="str">
            <v>:</v>
          </cell>
          <cell r="P90" t="str">
            <v>Pembangunan Gedung Perpustakaan SMA Negeri 13 Bandar Lampung</v>
          </cell>
        </row>
        <row r="91">
          <cell r="N91" t="str">
            <v>Tahun Anggaran</v>
          </cell>
          <cell r="O91" t="str">
            <v>:</v>
          </cell>
          <cell r="P91">
            <v>2006</v>
          </cell>
        </row>
        <row r="93">
          <cell r="N93" t="str">
            <v>NO.</v>
          </cell>
          <cell r="O93" t="str">
            <v>URAIAN  PEKERJAAN</v>
          </cell>
          <cell r="U93" t="str">
            <v>TOTAL</v>
          </cell>
        </row>
        <row r="94">
          <cell r="U94" t="str">
            <v>HARGA</v>
          </cell>
        </row>
        <row r="95">
          <cell r="U95" t="str">
            <v>(Rp)</v>
          </cell>
        </row>
        <row r="96">
          <cell r="N96" t="str">
            <v>I</v>
          </cell>
          <cell r="P96" t="str">
            <v>PEKERJAAN PERSIAPAN</v>
          </cell>
          <cell r="U96">
            <v>1600000</v>
          </cell>
        </row>
        <row r="97">
          <cell r="N97" t="str">
            <v>II</v>
          </cell>
          <cell r="P97" t="str">
            <v>PEKERJAAN TANAH</v>
          </cell>
          <cell r="U97">
            <v>3932157.17</v>
          </cell>
        </row>
        <row r="98">
          <cell r="N98" t="str">
            <v>III</v>
          </cell>
          <cell r="P98" t="str">
            <v>PEKERJAAN  PASANGAN</v>
          </cell>
          <cell r="U98">
            <v>55871381.629999995</v>
          </cell>
        </row>
        <row r="99">
          <cell r="N99" t="str">
            <v>IV</v>
          </cell>
          <cell r="P99" t="str">
            <v>PEKERJAAN BETON</v>
          </cell>
          <cell r="U99">
            <v>17206568</v>
          </cell>
        </row>
        <row r="100">
          <cell r="N100" t="str">
            <v>V</v>
          </cell>
          <cell r="P100" t="str">
            <v>PEKERJAAN KUSEN</v>
          </cell>
          <cell r="U100">
            <v>18269688.23</v>
          </cell>
        </row>
        <row r="101">
          <cell r="N101" t="str">
            <v>VI</v>
          </cell>
          <cell r="P101" t="str">
            <v>PEKERJAAN ATAP &amp; PLAFON</v>
          </cell>
          <cell r="U101">
            <v>40782481.839999996</v>
          </cell>
        </row>
        <row r="102">
          <cell r="N102" t="str">
            <v>VII</v>
          </cell>
          <cell r="P102" t="str">
            <v>PEKERJAAN INSTALASI LISTRIK</v>
          </cell>
          <cell r="U102">
            <v>2255000</v>
          </cell>
        </row>
        <row r="103">
          <cell r="N103" t="str">
            <v>VIII</v>
          </cell>
          <cell r="P103" t="str">
            <v>PEKERJAAN PENGECATAN</v>
          </cell>
          <cell r="U103">
            <v>5537681.96</v>
          </cell>
        </row>
        <row r="104">
          <cell r="P104" t="str">
            <v>JUMLAH ( I  s/d.  VIII)</v>
          </cell>
          <cell r="U104">
            <v>145454958.83000001</v>
          </cell>
        </row>
        <row r="105">
          <cell r="P105" t="str">
            <v>PPN 10%</v>
          </cell>
          <cell r="U105">
            <v>14545495.883000001</v>
          </cell>
        </row>
        <row r="106">
          <cell r="P106" t="str">
            <v>TOTAL</v>
          </cell>
          <cell r="U106">
            <v>160000454.713</v>
          </cell>
        </row>
        <row r="107">
          <cell r="P107" t="str">
            <v>DIBULATKAN</v>
          </cell>
          <cell r="U107">
            <v>160000000</v>
          </cell>
        </row>
        <row r="109">
          <cell r="N109" t="str">
            <v>Terbilang</v>
          </cell>
          <cell r="O109" t="str">
            <v>:</v>
          </cell>
          <cell r="P109" t="str">
            <v>Seratus Enam Puluh Juta Rupiah</v>
          </cell>
        </row>
        <row r="112">
          <cell r="R112" t="str">
            <v>Bandar Lampung,  ...................... 2006</v>
          </cell>
        </row>
        <row r="113">
          <cell r="N113" t="str">
            <v>MENGETAHUI :</v>
          </cell>
        </row>
        <row r="114">
          <cell r="N114" t="str">
            <v>PEJABAT PEMBUAT KOMITMEN/ PEMIMPIN KEGIATAN</v>
          </cell>
          <cell r="R114" t="str">
            <v>PANITIA PENGADAAN JASA KONSTRUKSI</v>
          </cell>
        </row>
        <row r="115">
          <cell r="R115" t="str">
            <v>Ketua</v>
          </cell>
        </row>
        <row r="120">
          <cell r="N120" t="str">
            <v>Hi.IBRAHIM, ST,MM</v>
          </cell>
          <cell r="R120" t="str">
            <v>FAISOL MUCHTAR,ST</v>
          </cell>
        </row>
        <row r="121">
          <cell r="N121" t="str">
            <v>NIP.460017324</v>
          </cell>
          <cell r="R121" t="str">
            <v>NIP. 460 021 411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8"/>
  <sheetViews>
    <sheetView topLeftCell="A253" workbookViewId="0">
      <selection activeCell="J279" sqref="J279"/>
    </sheetView>
  </sheetViews>
  <sheetFormatPr defaultRowHeight="14.25"/>
  <cols>
    <col min="1" max="1" width="5" customWidth="1"/>
    <col min="2" max="2" width="1.75" customWidth="1"/>
    <col min="3" max="3" width="4.125" customWidth="1"/>
    <col min="4" max="4" width="5.375" customWidth="1"/>
    <col min="5" max="5" width="33" customWidth="1"/>
    <col min="6" max="9" width="6.125" customWidth="1"/>
    <col min="13" max="13" width="5.375" style="111" customWidth="1"/>
    <col min="14" max="14" width="5.375" customWidth="1"/>
    <col min="15" max="15" width="9" style="11"/>
  </cols>
  <sheetData>
    <row r="1" spans="1:17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N1" s="111"/>
      <c r="P1" s="111"/>
      <c r="Q1" s="111"/>
    </row>
    <row r="2" spans="1:17">
      <c r="A2" s="1924" t="s">
        <v>0</v>
      </c>
      <c r="B2" s="1925" t="s">
        <v>412</v>
      </c>
      <c r="C2" s="1925"/>
      <c r="D2" s="1925"/>
      <c r="E2" s="1925"/>
      <c r="F2" s="374"/>
      <c r="G2" s="374"/>
      <c r="H2" s="374"/>
      <c r="I2" s="374"/>
      <c r="J2" s="1928" t="s">
        <v>413</v>
      </c>
      <c r="K2" s="1925" t="s">
        <v>414</v>
      </c>
      <c r="L2" s="111"/>
      <c r="N2" s="111"/>
      <c r="P2" s="111"/>
      <c r="Q2" s="111"/>
    </row>
    <row r="3" spans="1:17">
      <c r="A3" s="1924"/>
      <c r="B3" s="1925"/>
      <c r="C3" s="1925"/>
      <c r="D3" s="1925"/>
      <c r="E3" s="1925"/>
      <c r="F3" s="374"/>
      <c r="G3" s="374"/>
      <c r="H3" s="374"/>
      <c r="I3" s="374"/>
      <c r="J3" s="1928"/>
      <c r="K3" s="1925"/>
      <c r="L3" s="111"/>
      <c r="N3" s="111"/>
      <c r="P3" s="111"/>
      <c r="Q3" s="111"/>
    </row>
    <row r="4" spans="1:17">
      <c r="A4" s="383"/>
      <c r="B4" s="384"/>
      <c r="C4" s="343"/>
      <c r="D4" s="343"/>
      <c r="E4" s="343"/>
      <c r="F4" s="344"/>
      <c r="G4" s="344"/>
      <c r="H4" s="344"/>
      <c r="I4" s="344"/>
      <c r="J4" s="344"/>
      <c r="K4" s="385"/>
      <c r="L4" s="111"/>
      <c r="N4" s="111"/>
      <c r="P4" s="111"/>
      <c r="Q4" s="111"/>
    </row>
    <row r="5" spans="1:17">
      <c r="A5" s="345" t="s">
        <v>416</v>
      </c>
      <c r="B5" s="346"/>
      <c r="C5" s="386" t="s">
        <v>417</v>
      </c>
      <c r="D5" s="386"/>
      <c r="E5" s="386"/>
      <c r="F5" s="347"/>
      <c r="G5" s="347"/>
      <c r="H5" s="347"/>
      <c r="I5" s="347"/>
      <c r="J5" s="347"/>
      <c r="K5" s="364"/>
      <c r="L5" s="111"/>
      <c r="N5" s="111"/>
      <c r="P5" s="111"/>
      <c r="Q5" s="111"/>
    </row>
    <row r="6" spans="1:17">
      <c r="A6" s="345">
        <v>1</v>
      </c>
      <c r="B6" s="346"/>
      <c r="C6" s="386" t="s">
        <v>418</v>
      </c>
      <c r="D6" s="386"/>
      <c r="E6" s="386"/>
      <c r="F6" s="347"/>
      <c r="G6" s="347"/>
      <c r="H6" s="347"/>
      <c r="I6" s="347"/>
      <c r="J6" s="347" t="e">
        <v>#REF!</v>
      </c>
      <c r="K6" s="364" t="s">
        <v>283</v>
      </c>
      <c r="L6" s="111"/>
      <c r="N6" s="111"/>
      <c r="P6" s="111"/>
      <c r="Q6" s="111"/>
    </row>
    <row r="7" spans="1:17">
      <c r="A7" s="345"/>
      <c r="B7" s="346"/>
      <c r="C7" s="386"/>
      <c r="D7" s="386"/>
      <c r="E7" s="386"/>
      <c r="F7" s="347"/>
      <c r="G7" s="347"/>
      <c r="H7" s="347"/>
      <c r="I7" s="347"/>
      <c r="J7" s="347"/>
      <c r="K7" s="364"/>
      <c r="L7" s="111"/>
      <c r="N7" s="111"/>
      <c r="P7" s="111"/>
      <c r="Q7" s="111"/>
    </row>
    <row r="8" spans="1:17" ht="15">
      <c r="A8" s="348">
        <v>1</v>
      </c>
      <c r="B8" s="349"/>
      <c r="C8" s="387" t="s">
        <v>419</v>
      </c>
      <c r="D8" s="388"/>
      <c r="E8" s="388"/>
      <c r="F8" s="389"/>
      <c r="G8" s="389"/>
      <c r="H8" s="389"/>
      <c r="I8" s="389"/>
      <c r="J8" s="350"/>
      <c r="K8" s="350"/>
      <c r="L8" s="111"/>
      <c r="N8" s="111"/>
      <c r="P8" s="111"/>
      <c r="Q8" s="111"/>
    </row>
    <row r="9" spans="1:17" ht="15">
      <c r="A9" s="348">
        <v>1</v>
      </c>
      <c r="B9" s="349"/>
      <c r="C9" s="387" t="s">
        <v>420</v>
      </c>
      <c r="D9" s="388"/>
      <c r="E9" s="388"/>
      <c r="F9" s="389"/>
      <c r="G9" s="389"/>
      <c r="H9" s="389"/>
      <c r="I9" s="389"/>
      <c r="J9" s="350"/>
      <c r="K9" s="350"/>
      <c r="L9" s="111"/>
      <c r="N9" s="111"/>
      <c r="P9" s="111"/>
      <c r="Q9" s="111"/>
    </row>
    <row r="10" spans="1:17" ht="15">
      <c r="A10" s="348"/>
      <c r="B10" s="349"/>
      <c r="C10" s="387"/>
      <c r="D10" s="390" t="s">
        <v>421</v>
      </c>
      <c r="E10" s="387" t="s">
        <v>787</v>
      </c>
      <c r="F10" s="391"/>
      <c r="G10" s="391"/>
      <c r="H10" s="391"/>
      <c r="I10" s="391"/>
      <c r="J10" s="347">
        <v>1</v>
      </c>
      <c r="K10" s="348" t="s">
        <v>32</v>
      </c>
      <c r="L10" s="111"/>
      <c r="N10" s="111"/>
      <c r="P10" s="111"/>
      <c r="Q10" s="111"/>
    </row>
    <row r="11" spans="1:17" ht="15">
      <c r="A11" s="348">
        <v>2</v>
      </c>
      <c r="B11" s="349"/>
      <c r="C11" s="392" t="s">
        <v>423</v>
      </c>
      <c r="D11" s="393"/>
      <c r="E11" s="394"/>
      <c r="F11" s="395"/>
      <c r="G11" s="395"/>
      <c r="H11" s="395"/>
      <c r="I11" s="395"/>
      <c r="J11" s="351"/>
      <c r="K11" s="348"/>
      <c r="L11" s="111"/>
      <c r="N11" s="111"/>
      <c r="P11" s="111"/>
      <c r="Q11" s="111"/>
    </row>
    <row r="12" spans="1:17" ht="15">
      <c r="A12" s="352"/>
      <c r="B12" s="353"/>
      <c r="C12" s="392"/>
      <c r="D12" s="393" t="s">
        <v>421</v>
      </c>
      <c r="E12" s="393" t="s">
        <v>424</v>
      </c>
      <c r="F12" s="396"/>
      <c r="G12" s="396"/>
      <c r="H12" s="396"/>
      <c r="I12" s="396"/>
      <c r="J12" s="347">
        <v>1</v>
      </c>
      <c r="K12" s="354" t="s">
        <v>425</v>
      </c>
      <c r="L12" s="111"/>
      <c r="N12" s="111"/>
      <c r="P12" s="111"/>
      <c r="Q12" s="111"/>
    </row>
    <row r="13" spans="1:17" ht="15">
      <c r="A13" s="352">
        <v>3</v>
      </c>
      <c r="B13" s="353"/>
      <c r="C13" s="392" t="s">
        <v>426</v>
      </c>
      <c r="D13" s="393"/>
      <c r="E13" s="394"/>
      <c r="F13" s="395"/>
      <c r="G13" s="395"/>
      <c r="H13" s="395"/>
      <c r="I13" s="395"/>
      <c r="J13" s="355"/>
      <c r="K13" s="354"/>
      <c r="L13" s="111"/>
      <c r="N13" s="111"/>
      <c r="P13" s="111"/>
      <c r="Q13" s="111"/>
    </row>
    <row r="14" spans="1:17" ht="15">
      <c r="A14" s="352"/>
      <c r="B14" s="353"/>
      <c r="C14" s="392"/>
      <c r="D14" s="393" t="s">
        <v>421</v>
      </c>
      <c r="E14" s="393" t="s">
        <v>427</v>
      </c>
      <c r="F14" s="396"/>
      <c r="G14" s="396"/>
      <c r="H14" s="396"/>
      <c r="I14" s="396"/>
      <c r="J14" s="347">
        <v>10</v>
      </c>
      <c r="K14" s="354" t="s">
        <v>7</v>
      </c>
      <c r="L14" s="111"/>
      <c r="N14" s="111"/>
      <c r="P14" s="111"/>
      <c r="Q14" s="111"/>
    </row>
    <row r="15" spans="1:17" ht="15">
      <c r="A15" s="352"/>
      <c r="B15" s="353"/>
      <c r="C15" s="392"/>
      <c r="D15" s="393" t="s">
        <v>428</v>
      </c>
      <c r="E15" s="393" t="s">
        <v>788</v>
      </c>
      <c r="F15" s="396"/>
      <c r="G15" s="396"/>
      <c r="H15" s="396"/>
      <c r="I15" s="396"/>
      <c r="J15" s="347">
        <v>1</v>
      </c>
      <c r="K15" s="354" t="s">
        <v>7</v>
      </c>
      <c r="L15" s="111"/>
      <c r="N15" s="111"/>
      <c r="P15" s="111"/>
      <c r="Q15" s="111"/>
    </row>
    <row r="16" spans="1:17" ht="15">
      <c r="A16" s="352"/>
      <c r="B16" s="353"/>
      <c r="C16" s="392"/>
      <c r="D16" s="393" t="s">
        <v>429</v>
      </c>
      <c r="E16" s="393" t="s">
        <v>430</v>
      </c>
      <c r="F16" s="396"/>
      <c r="G16" s="396"/>
      <c r="H16" s="396"/>
      <c r="I16" s="396"/>
      <c r="J16" s="347">
        <v>1</v>
      </c>
      <c r="K16" s="354" t="s">
        <v>36</v>
      </c>
      <c r="L16" s="111"/>
      <c r="N16" s="111"/>
      <c r="P16" s="111"/>
      <c r="Q16" s="111"/>
    </row>
    <row r="17" spans="1:17" ht="15">
      <c r="A17" s="352"/>
      <c r="B17" s="353"/>
      <c r="C17" s="392"/>
      <c r="D17" s="393" t="s">
        <v>431</v>
      </c>
      <c r="E17" s="393" t="s">
        <v>432</v>
      </c>
      <c r="F17" s="396"/>
      <c r="G17" s="396"/>
      <c r="H17" s="396"/>
      <c r="I17" s="396"/>
      <c r="J17" s="347">
        <v>1</v>
      </c>
      <c r="K17" s="354" t="s">
        <v>146</v>
      </c>
      <c r="L17" s="111"/>
      <c r="N17" s="111"/>
      <c r="P17" s="111"/>
      <c r="Q17" s="111"/>
    </row>
    <row r="18" spans="1:17" ht="15">
      <c r="A18" s="352"/>
      <c r="B18" s="353"/>
      <c r="C18" s="392"/>
      <c r="D18" s="393" t="s">
        <v>433</v>
      </c>
      <c r="E18" s="393" t="s">
        <v>434</v>
      </c>
      <c r="F18" s="396"/>
      <c r="G18" s="396"/>
      <c r="H18" s="396"/>
      <c r="I18" s="396"/>
      <c r="J18" s="347">
        <v>1</v>
      </c>
      <c r="K18" s="354" t="s">
        <v>146</v>
      </c>
      <c r="L18" s="111"/>
      <c r="N18" s="111"/>
      <c r="P18" s="111"/>
      <c r="Q18" s="111"/>
    </row>
    <row r="19" spans="1:17" ht="15">
      <c r="A19" s="352"/>
      <c r="B19" s="353"/>
      <c r="C19" s="392"/>
      <c r="D19" s="393" t="s">
        <v>435</v>
      </c>
      <c r="E19" s="393" t="s">
        <v>436</v>
      </c>
      <c r="F19" s="396"/>
      <c r="G19" s="396"/>
      <c r="H19" s="396"/>
      <c r="I19" s="396"/>
      <c r="J19" s="347">
        <v>1</v>
      </c>
      <c r="K19" s="354" t="s">
        <v>7</v>
      </c>
      <c r="L19" s="111"/>
      <c r="N19" s="111"/>
      <c r="P19" s="111"/>
      <c r="Q19" s="111"/>
    </row>
    <row r="20" spans="1:17" ht="15">
      <c r="A20" s="352">
        <v>4</v>
      </c>
      <c r="B20" s="353"/>
      <c r="C20" s="392" t="s">
        <v>437</v>
      </c>
      <c r="D20" s="393"/>
      <c r="E20" s="394"/>
      <c r="F20" s="395"/>
      <c r="G20" s="395"/>
      <c r="H20" s="395"/>
      <c r="I20" s="395"/>
      <c r="J20" s="355"/>
      <c r="K20" s="354"/>
      <c r="L20" s="111"/>
      <c r="N20" s="111"/>
      <c r="P20" s="111"/>
      <c r="Q20" s="111"/>
    </row>
    <row r="21" spans="1:17" ht="15">
      <c r="A21" s="352"/>
      <c r="B21" s="353"/>
      <c r="C21" s="392"/>
      <c r="D21" s="393" t="s">
        <v>421</v>
      </c>
      <c r="E21" s="393" t="s">
        <v>438</v>
      </c>
      <c r="F21" s="396"/>
      <c r="G21" s="396"/>
      <c r="H21" s="396"/>
      <c r="I21" s="396"/>
      <c r="J21" s="347">
        <v>1</v>
      </c>
      <c r="K21" s="354" t="s">
        <v>439</v>
      </c>
      <c r="L21" s="111"/>
      <c r="N21" s="111"/>
      <c r="P21" s="111"/>
      <c r="Q21" s="111"/>
    </row>
    <row r="22" spans="1:17" ht="15">
      <c r="A22" s="352">
        <v>5</v>
      </c>
      <c r="B22" s="353"/>
      <c r="C22" s="392" t="s">
        <v>440</v>
      </c>
      <c r="D22" s="393"/>
      <c r="E22" s="394"/>
      <c r="F22" s="395"/>
      <c r="G22" s="395"/>
      <c r="H22" s="395"/>
      <c r="I22" s="395"/>
      <c r="J22" s="347"/>
      <c r="K22" s="354"/>
      <c r="L22" s="111"/>
      <c r="N22" s="111"/>
      <c r="P22" s="111"/>
      <c r="Q22" s="111"/>
    </row>
    <row r="23" spans="1:17" ht="15">
      <c r="A23" s="352"/>
      <c r="B23" s="353"/>
      <c r="C23" s="392"/>
      <c r="D23" s="393" t="s">
        <v>421</v>
      </c>
      <c r="E23" s="393" t="s">
        <v>441</v>
      </c>
      <c r="F23" s="396"/>
      <c r="G23" s="396"/>
      <c r="H23" s="396"/>
      <c r="I23" s="396"/>
      <c r="J23" s="347">
        <v>0.5</v>
      </c>
      <c r="K23" s="354" t="s">
        <v>442</v>
      </c>
      <c r="L23" s="111"/>
      <c r="N23" s="111"/>
      <c r="P23" s="111"/>
      <c r="Q23" s="111"/>
    </row>
    <row r="24" spans="1:17" ht="15">
      <c r="A24" s="352">
        <v>6</v>
      </c>
      <c r="B24" s="353"/>
      <c r="C24" s="392" t="s">
        <v>443</v>
      </c>
      <c r="D24" s="393"/>
      <c r="E24" s="394"/>
      <c r="F24" s="395"/>
      <c r="G24" s="395"/>
      <c r="H24" s="395"/>
      <c r="I24" s="395"/>
      <c r="J24" s="347">
        <v>1</v>
      </c>
      <c r="K24" s="354"/>
      <c r="L24" s="111"/>
      <c r="N24" s="111"/>
      <c r="P24" s="111"/>
      <c r="Q24" s="111"/>
    </row>
    <row r="25" spans="1:17" ht="15">
      <c r="A25" s="352"/>
      <c r="B25" s="353"/>
      <c r="C25" s="392"/>
      <c r="D25" s="356" t="s">
        <v>421</v>
      </c>
      <c r="E25" s="393" t="s">
        <v>445</v>
      </c>
      <c r="F25" s="396"/>
      <c r="G25" s="396"/>
      <c r="H25" s="396"/>
      <c r="I25" s="396"/>
      <c r="J25" s="347">
        <v>1</v>
      </c>
      <c r="K25" s="354" t="s">
        <v>123</v>
      </c>
      <c r="L25" s="111"/>
      <c r="N25" s="111"/>
      <c r="P25" s="111"/>
      <c r="Q25" s="111"/>
    </row>
    <row r="26" spans="1:17" ht="15">
      <c r="A26" s="352">
        <v>7</v>
      </c>
      <c r="B26" s="353"/>
      <c r="C26" s="357" t="s">
        <v>446</v>
      </c>
      <c r="D26" s="356"/>
      <c r="E26" s="356"/>
      <c r="F26" s="396"/>
      <c r="G26" s="396"/>
      <c r="H26" s="396"/>
      <c r="I26" s="396"/>
      <c r="J26" s="347">
        <v>3</v>
      </c>
      <c r="K26" s="354" t="s">
        <v>7</v>
      </c>
      <c r="L26" s="111"/>
      <c r="N26" s="111"/>
      <c r="P26" s="111"/>
      <c r="Q26" s="111"/>
    </row>
    <row r="27" spans="1:17" ht="15">
      <c r="A27" s="352">
        <v>8</v>
      </c>
      <c r="B27" s="353"/>
      <c r="C27" s="357" t="s">
        <v>447</v>
      </c>
      <c r="D27" s="356"/>
      <c r="E27" s="356"/>
      <c r="F27" s="396"/>
      <c r="G27" s="396"/>
      <c r="H27" s="396"/>
      <c r="I27" s="396"/>
      <c r="J27" s="358"/>
      <c r="K27" s="354"/>
      <c r="L27" s="111"/>
      <c r="N27" s="111"/>
      <c r="P27" s="111"/>
      <c r="Q27" s="111"/>
    </row>
    <row r="28" spans="1:17" ht="15">
      <c r="A28" s="352">
        <v>9</v>
      </c>
      <c r="B28" s="353"/>
      <c r="C28" s="357" t="s">
        <v>448</v>
      </c>
      <c r="D28" s="356"/>
      <c r="E28" s="356"/>
      <c r="F28" s="396"/>
      <c r="G28" s="396"/>
      <c r="H28" s="396"/>
      <c r="I28" s="396"/>
      <c r="J28" s="358"/>
      <c r="K28" s="354"/>
      <c r="L28" s="111"/>
      <c r="N28" s="111"/>
      <c r="P28" s="111"/>
      <c r="Q28" s="111"/>
    </row>
    <row r="29" spans="1:17">
      <c r="A29" s="359"/>
      <c r="B29" s="360"/>
      <c r="C29" s="397"/>
      <c r="D29" s="397"/>
      <c r="E29" s="397"/>
      <c r="F29" s="398"/>
      <c r="G29" s="398"/>
      <c r="H29" s="398"/>
      <c r="I29" s="398"/>
      <c r="J29" s="361"/>
      <c r="K29" s="348"/>
      <c r="L29" s="111"/>
      <c r="N29" s="111"/>
      <c r="P29" s="111"/>
      <c r="Q29" s="111"/>
    </row>
    <row r="30" spans="1:17">
      <c r="A30" s="345"/>
      <c r="B30" s="346"/>
      <c r="C30" s="386"/>
      <c r="D30" s="386"/>
      <c r="E30" s="386"/>
      <c r="F30" s="347"/>
      <c r="G30" s="347"/>
      <c r="H30" s="347"/>
      <c r="I30" s="347"/>
      <c r="J30" s="347"/>
      <c r="K30" s="364"/>
      <c r="L30" s="111"/>
      <c r="N30" s="111"/>
      <c r="P30" s="111"/>
      <c r="Q30" s="111"/>
    </row>
    <row r="31" spans="1:17" s="466" customFormat="1">
      <c r="A31" s="460" t="s">
        <v>262</v>
      </c>
      <c r="B31" s="461"/>
      <c r="C31" s="462" t="s">
        <v>789</v>
      </c>
      <c r="D31" s="463"/>
      <c r="E31" s="463"/>
      <c r="F31" s="464"/>
      <c r="G31" s="464"/>
      <c r="H31" s="464"/>
      <c r="I31" s="464"/>
      <c r="J31" s="464"/>
      <c r="K31" s="465"/>
      <c r="O31" s="467"/>
    </row>
    <row r="32" spans="1:17" s="466" customFormat="1">
      <c r="A32" s="460" t="s">
        <v>444</v>
      </c>
      <c r="B32" s="461"/>
      <c r="C32" s="462" t="s">
        <v>790</v>
      </c>
      <c r="D32" s="463"/>
      <c r="E32" s="463"/>
      <c r="F32" s="464"/>
      <c r="G32" s="464"/>
      <c r="H32" s="464"/>
      <c r="I32" s="464"/>
      <c r="J32" s="464"/>
      <c r="K32" s="465"/>
      <c r="O32" s="467"/>
    </row>
    <row r="33" spans="1:18" s="466" customFormat="1">
      <c r="A33" s="468">
        <v>1</v>
      </c>
      <c r="B33" s="469"/>
      <c r="C33" s="463" t="s">
        <v>791</v>
      </c>
      <c r="D33" s="463"/>
      <c r="E33" s="463"/>
      <c r="F33" s="464"/>
      <c r="G33" s="464">
        <v>0.9</v>
      </c>
      <c r="H33" s="464">
        <v>2.2000000000000002</v>
      </c>
      <c r="I33" s="464">
        <v>1</v>
      </c>
      <c r="J33" s="464">
        <f>I33*H33*G33</f>
        <v>1.9800000000000002</v>
      </c>
      <c r="K33" s="465"/>
      <c r="O33" s="467"/>
    </row>
    <row r="34" spans="1:18" s="466" customFormat="1">
      <c r="A34" s="468">
        <v>2</v>
      </c>
      <c r="B34" s="469"/>
      <c r="C34" s="463" t="s">
        <v>792</v>
      </c>
      <c r="D34" s="463"/>
      <c r="E34" s="463"/>
      <c r="F34" s="464"/>
      <c r="G34" s="464"/>
      <c r="H34" s="464"/>
      <c r="I34" s="464"/>
      <c r="J34" s="464">
        <f>J33*2</f>
        <v>3.9600000000000004</v>
      </c>
      <c r="K34" s="465"/>
      <c r="O34" s="467"/>
    </row>
    <row r="35" spans="1:18" s="466" customFormat="1">
      <c r="A35" s="468">
        <v>3</v>
      </c>
      <c r="B35" s="469"/>
      <c r="C35" s="463" t="s">
        <v>793</v>
      </c>
      <c r="D35" s="463"/>
      <c r="E35" s="463"/>
      <c r="F35" s="464"/>
      <c r="G35" s="464"/>
      <c r="H35" s="464"/>
      <c r="I35" s="464"/>
      <c r="J35" s="464">
        <f>J34</f>
        <v>3.9600000000000004</v>
      </c>
      <c r="K35" s="465"/>
      <c r="O35" s="467"/>
    </row>
    <row r="36" spans="1:18" s="466" customFormat="1">
      <c r="A36" s="460"/>
      <c r="B36" s="461"/>
      <c r="C36" s="462"/>
      <c r="D36" s="463"/>
      <c r="E36" s="463"/>
      <c r="F36" s="464"/>
      <c r="G36" s="464"/>
      <c r="H36" s="464"/>
      <c r="I36" s="464"/>
      <c r="J36" s="464"/>
      <c r="K36" s="465"/>
      <c r="O36" s="467"/>
    </row>
    <row r="37" spans="1:18" s="466" customFormat="1">
      <c r="A37" s="460" t="s">
        <v>681</v>
      </c>
      <c r="B37" s="461"/>
      <c r="C37" s="462" t="s">
        <v>469</v>
      </c>
      <c r="D37" s="463"/>
      <c r="E37" s="463"/>
      <c r="F37" s="464"/>
      <c r="G37" s="464"/>
      <c r="H37" s="464"/>
      <c r="I37" s="464"/>
      <c r="J37" s="464"/>
      <c r="K37" s="465"/>
      <c r="O37" s="467" t="s">
        <v>648</v>
      </c>
      <c r="P37" s="466" t="s">
        <v>970</v>
      </c>
    </row>
    <row r="38" spans="1:18" s="466" customFormat="1">
      <c r="A38" s="468">
        <v>1</v>
      </c>
      <c r="B38" s="469"/>
      <c r="C38" s="463" t="s">
        <v>822</v>
      </c>
      <c r="D38" s="463"/>
      <c r="E38" s="463"/>
      <c r="F38" s="464"/>
      <c r="G38" s="464"/>
      <c r="H38" s="464"/>
      <c r="I38" s="464"/>
      <c r="J38" s="464">
        <f>SUM(J39:J44)</f>
        <v>27.900000000000002</v>
      </c>
      <c r="K38" s="465" t="s">
        <v>422</v>
      </c>
      <c r="M38" s="470"/>
      <c r="N38" s="471"/>
      <c r="O38" s="472">
        <f>SUM(O39:O59)</f>
        <v>216.45680000000004</v>
      </c>
      <c r="P38" s="472">
        <f>SUM(P39:P59)</f>
        <v>78.34320000000001</v>
      </c>
    </row>
    <row r="39" spans="1:18" s="466" customFormat="1">
      <c r="A39" s="460"/>
      <c r="B39" s="461"/>
      <c r="C39" s="462"/>
      <c r="D39" s="463">
        <v>2</v>
      </c>
      <c r="E39" s="463" t="s">
        <v>599</v>
      </c>
      <c r="F39" s="464">
        <f>1.7+2*2</f>
        <v>5.7</v>
      </c>
      <c r="G39" s="464"/>
      <c r="H39" s="464"/>
      <c r="I39" s="464">
        <v>2</v>
      </c>
      <c r="J39" s="464">
        <f t="shared" ref="J39:J45" si="0">I39*F39</f>
        <v>11.4</v>
      </c>
      <c r="K39" s="465"/>
      <c r="M39" s="470"/>
      <c r="N39" s="473">
        <f>0.05*2+0.14*1</f>
        <v>0.24000000000000002</v>
      </c>
      <c r="O39" s="474">
        <f>N39*F39*D39</f>
        <v>2.7360000000000002</v>
      </c>
      <c r="P39" s="499">
        <f>O39</f>
        <v>2.7360000000000002</v>
      </c>
    </row>
    <row r="40" spans="1:18" s="466" customFormat="1">
      <c r="A40" s="460"/>
      <c r="B40" s="461"/>
      <c r="C40" s="462"/>
      <c r="D40" s="463">
        <v>1</v>
      </c>
      <c r="E40" s="463" t="s">
        <v>843</v>
      </c>
      <c r="F40" s="464">
        <f>1.7+2*2</f>
        <v>5.7</v>
      </c>
      <c r="G40" s="464"/>
      <c r="H40" s="464"/>
      <c r="I40" s="464">
        <v>1</v>
      </c>
      <c r="J40" s="464">
        <f t="shared" si="0"/>
        <v>5.7</v>
      </c>
      <c r="K40" s="465"/>
      <c r="M40" s="470"/>
      <c r="N40" s="473">
        <f t="shared" ref="N40:N45" si="1">0.05*2+0.14*1</f>
        <v>0.24000000000000002</v>
      </c>
      <c r="O40" s="474">
        <f t="shared" ref="O40:O45" si="2">N40*F40*D40</f>
        <v>1.3680000000000001</v>
      </c>
      <c r="P40" s="499">
        <f>O40</f>
        <v>1.3680000000000001</v>
      </c>
    </row>
    <row r="41" spans="1:18" s="466" customFormat="1">
      <c r="A41" s="460"/>
      <c r="B41" s="461"/>
      <c r="C41" s="462"/>
      <c r="D41" s="463">
        <v>4</v>
      </c>
      <c r="E41" s="463" t="s">
        <v>844</v>
      </c>
      <c r="F41" s="464">
        <f>0.9+2*2</f>
        <v>4.9000000000000004</v>
      </c>
      <c r="G41" s="464"/>
      <c r="H41" s="464"/>
      <c r="I41" s="464">
        <v>0</v>
      </c>
      <c r="J41" s="464">
        <f t="shared" si="0"/>
        <v>0</v>
      </c>
      <c r="K41" s="465"/>
      <c r="M41" s="470"/>
      <c r="N41" s="473">
        <f t="shared" si="1"/>
        <v>0.24000000000000002</v>
      </c>
      <c r="O41" s="474">
        <f t="shared" si="2"/>
        <v>4.7040000000000006</v>
      </c>
    </row>
    <row r="42" spans="1:18" s="466" customFormat="1">
      <c r="A42" s="460"/>
      <c r="B42" s="461"/>
      <c r="C42" s="462"/>
      <c r="D42" s="463">
        <v>2</v>
      </c>
      <c r="E42" s="463" t="s">
        <v>845</v>
      </c>
      <c r="F42" s="464">
        <f>0.85*1+2*2</f>
        <v>4.8499999999999996</v>
      </c>
      <c r="G42" s="464"/>
      <c r="H42" s="464"/>
      <c r="I42" s="464">
        <v>0</v>
      </c>
      <c r="J42" s="464">
        <f t="shared" si="0"/>
        <v>0</v>
      </c>
      <c r="K42" s="465"/>
      <c r="M42" s="470"/>
      <c r="N42" s="473">
        <f t="shared" si="1"/>
        <v>0.24000000000000002</v>
      </c>
      <c r="O42" s="474">
        <f t="shared" si="2"/>
        <v>2.3279999999999998</v>
      </c>
      <c r="P42" s="499">
        <f>O42</f>
        <v>2.3279999999999998</v>
      </c>
    </row>
    <row r="43" spans="1:18" s="466" customFormat="1">
      <c r="A43" s="460"/>
      <c r="B43" s="461"/>
      <c r="C43" s="462"/>
      <c r="D43" s="463">
        <v>2</v>
      </c>
      <c r="E43" s="463" t="s">
        <v>846</v>
      </c>
      <c r="F43" s="464">
        <f>0.7*2+2*2</f>
        <v>5.4</v>
      </c>
      <c r="G43" s="464"/>
      <c r="H43" s="464"/>
      <c r="I43" s="464">
        <v>2</v>
      </c>
      <c r="J43" s="464">
        <f t="shared" si="0"/>
        <v>10.8</v>
      </c>
      <c r="K43" s="465"/>
      <c r="M43" s="470"/>
      <c r="N43" s="473">
        <f t="shared" si="1"/>
        <v>0.24000000000000002</v>
      </c>
      <c r="O43" s="474">
        <f t="shared" si="2"/>
        <v>2.5920000000000005</v>
      </c>
      <c r="P43" s="475"/>
      <c r="Q43" s="475"/>
      <c r="R43" s="475"/>
    </row>
    <row r="44" spans="1:18" s="466" customFormat="1">
      <c r="A44" s="460"/>
      <c r="B44" s="461"/>
      <c r="C44" s="462"/>
      <c r="D44" s="463">
        <v>12</v>
      </c>
      <c r="E44" s="463" t="s">
        <v>921</v>
      </c>
      <c r="F44" s="464">
        <f>(0.75*2+0.95+0.2)*4+(1.7+0.2)*4</f>
        <v>18.200000000000003</v>
      </c>
      <c r="G44" s="464"/>
      <c r="H44" s="464"/>
      <c r="I44" s="464">
        <v>0</v>
      </c>
      <c r="J44" s="464">
        <f t="shared" si="0"/>
        <v>0</v>
      </c>
      <c r="K44" s="465"/>
      <c r="M44" s="476"/>
      <c r="N44" s="476">
        <f>0.05*2+0.14*1.5</f>
        <v>0.31000000000000005</v>
      </c>
      <c r="O44" s="477">
        <f t="shared" si="2"/>
        <v>67.704000000000022</v>
      </c>
      <c r="P44" s="475"/>
      <c r="Q44" s="475"/>
      <c r="R44" s="475"/>
    </row>
    <row r="45" spans="1:18" s="466" customFormat="1">
      <c r="A45" s="478"/>
      <c r="B45" s="479"/>
      <c r="C45" s="480"/>
      <c r="D45" s="463">
        <v>8</v>
      </c>
      <c r="E45" s="463" t="s">
        <v>855</v>
      </c>
      <c r="F45" s="464">
        <f>(0.72+0.1)*4+(1.71+0.2)*4</f>
        <v>10.92</v>
      </c>
      <c r="G45" s="464"/>
      <c r="H45" s="464"/>
      <c r="I45" s="464">
        <v>0</v>
      </c>
      <c r="J45" s="464">
        <f t="shared" si="0"/>
        <v>0</v>
      </c>
      <c r="K45" s="481"/>
      <c r="M45" s="470"/>
      <c r="N45" s="470">
        <f t="shared" si="1"/>
        <v>0.24000000000000002</v>
      </c>
      <c r="O45" s="482">
        <f t="shared" si="2"/>
        <v>20.9664</v>
      </c>
      <c r="P45" s="483"/>
      <c r="Q45" s="475"/>
      <c r="R45" s="475"/>
    </row>
    <row r="46" spans="1:18" s="466" customFormat="1">
      <c r="A46" s="468">
        <v>2</v>
      </c>
      <c r="B46" s="469"/>
      <c r="C46" s="463" t="s">
        <v>794</v>
      </c>
      <c r="D46" s="463"/>
      <c r="E46" s="463"/>
      <c r="G46" s="464">
        <f>0.74*2+0.95</f>
        <v>2.4299999999999997</v>
      </c>
      <c r="H46" s="464">
        <f>1+0.7</f>
        <v>1.7</v>
      </c>
      <c r="I46" s="464">
        <f>I44</f>
        <v>0</v>
      </c>
      <c r="J46" s="464">
        <f>I46*H46*G46</f>
        <v>0</v>
      </c>
      <c r="K46" s="465" t="s">
        <v>12</v>
      </c>
      <c r="M46" s="470">
        <f>0.74*4+0.95*2+1*6</f>
        <v>10.86</v>
      </c>
      <c r="N46" s="470">
        <f>0.06*2+0.11*2</f>
        <v>0.33999999999999997</v>
      </c>
      <c r="O46" s="482">
        <f>N46*M46*D44</f>
        <v>44.308799999999998</v>
      </c>
      <c r="P46" s="483">
        <f>M46*N46*4</f>
        <v>14.769599999999999</v>
      </c>
      <c r="Q46" s="475"/>
      <c r="R46" s="475"/>
    </row>
    <row r="47" spans="1:18" s="466" customFormat="1">
      <c r="A47" s="468">
        <v>3</v>
      </c>
      <c r="B47" s="469"/>
      <c r="C47" s="463" t="s">
        <v>847</v>
      </c>
      <c r="D47" s="463"/>
      <c r="E47" s="463"/>
      <c r="F47" s="464"/>
      <c r="G47" s="464">
        <v>1.6</v>
      </c>
      <c r="H47" s="464">
        <v>1.97</v>
      </c>
      <c r="I47" s="464">
        <v>2</v>
      </c>
      <c r="J47" s="464">
        <f>I47*H47*G47</f>
        <v>6.3040000000000003</v>
      </c>
      <c r="K47" s="465" t="s">
        <v>965</v>
      </c>
      <c r="M47" s="470">
        <f>1.6*2+2*2</f>
        <v>7.2</v>
      </c>
      <c r="N47" s="470">
        <f>0.06*2+0.15*2</f>
        <v>0.42</v>
      </c>
      <c r="O47" s="482">
        <f>N47*M47*D39</f>
        <v>6.048</v>
      </c>
      <c r="P47" s="500">
        <f>O47</f>
        <v>6.048</v>
      </c>
      <c r="Q47" s="475"/>
      <c r="R47" s="475"/>
    </row>
    <row r="48" spans="1:18" s="466" customFormat="1">
      <c r="A48" s="468">
        <v>3</v>
      </c>
      <c r="B48" s="469"/>
      <c r="C48" s="463" t="s">
        <v>795</v>
      </c>
      <c r="D48" s="463"/>
      <c r="E48" s="463"/>
      <c r="F48" s="464"/>
      <c r="G48" s="464"/>
      <c r="H48" s="464"/>
      <c r="I48" s="464"/>
      <c r="J48" s="464">
        <f>SUM(J49:J51)</f>
        <v>6.3040000000000003</v>
      </c>
      <c r="K48" s="465" t="s">
        <v>12</v>
      </c>
      <c r="M48" s="470"/>
      <c r="N48" s="470"/>
      <c r="O48" s="482"/>
      <c r="P48" s="500"/>
      <c r="Q48" s="475"/>
      <c r="R48" s="475"/>
    </row>
    <row r="49" spans="1:18" s="466" customFormat="1">
      <c r="A49" s="468"/>
      <c r="B49" s="469"/>
      <c r="C49" s="463"/>
      <c r="D49" s="463"/>
      <c r="E49" s="463" t="s">
        <v>848</v>
      </c>
      <c r="F49" s="464"/>
      <c r="G49" s="464">
        <v>0.8</v>
      </c>
      <c r="H49" s="464">
        <v>1.97</v>
      </c>
      <c r="I49" s="464">
        <f>4*0</f>
        <v>0</v>
      </c>
      <c r="J49" s="464">
        <f>I49*H49*G49</f>
        <v>0</v>
      </c>
      <c r="K49" s="465"/>
      <c r="M49" s="484" t="s">
        <v>337</v>
      </c>
      <c r="N49" s="470"/>
      <c r="O49" s="482">
        <f>H49*G49*2*D41</f>
        <v>12.608000000000001</v>
      </c>
      <c r="P49" s="483"/>
      <c r="Q49" s="475"/>
      <c r="R49" s="475"/>
    </row>
    <row r="50" spans="1:18" s="466" customFormat="1">
      <c r="A50" s="468"/>
      <c r="B50" s="469"/>
      <c r="C50" s="463"/>
      <c r="D50" s="463"/>
      <c r="E50" s="463" t="s">
        <v>849</v>
      </c>
      <c r="F50" s="464"/>
      <c r="G50" s="464">
        <v>1.6</v>
      </c>
      <c r="H50" s="464">
        <f>H49</f>
        <v>1.97</v>
      </c>
      <c r="I50" s="464">
        <v>1</v>
      </c>
      <c r="J50" s="464">
        <f>I50*H50*G50</f>
        <v>3.1520000000000001</v>
      </c>
      <c r="K50" s="465"/>
      <c r="M50" s="470"/>
      <c r="N50" s="470"/>
      <c r="O50" s="482">
        <f>G50*H50*2*D40</f>
        <v>6.3040000000000003</v>
      </c>
      <c r="P50" s="500">
        <f>O50</f>
        <v>6.3040000000000003</v>
      </c>
      <c r="Q50" s="475"/>
      <c r="R50" s="475"/>
    </row>
    <row r="51" spans="1:18" s="466" customFormat="1">
      <c r="A51" s="485"/>
      <c r="B51" s="486"/>
      <c r="C51" s="487"/>
      <c r="D51" s="487"/>
      <c r="E51" s="487" t="str">
        <f>E42</f>
        <v>Pintu KM Luar</v>
      </c>
      <c r="F51" s="488"/>
      <c r="G51" s="488">
        <v>0.8</v>
      </c>
      <c r="H51" s="488">
        <f>H49</f>
        <v>1.97</v>
      </c>
      <c r="I51" s="488">
        <v>2</v>
      </c>
      <c r="J51" s="464">
        <f>I51*H51*G51</f>
        <v>3.1520000000000001</v>
      </c>
      <c r="K51" s="481"/>
      <c r="M51" s="470"/>
      <c r="N51" s="470"/>
      <c r="O51" s="482">
        <f>G51*H51*2*D42</f>
        <v>6.3040000000000003</v>
      </c>
      <c r="P51" s="500">
        <f>O51</f>
        <v>6.3040000000000003</v>
      </c>
      <c r="Q51" s="475"/>
      <c r="R51" s="475"/>
    </row>
    <row r="52" spans="1:18" s="466" customFormat="1">
      <c r="A52" s="468">
        <v>5</v>
      </c>
      <c r="B52" s="469"/>
      <c r="C52" s="463" t="s">
        <v>796</v>
      </c>
      <c r="D52" s="463"/>
      <c r="E52" s="463"/>
      <c r="F52" s="464"/>
      <c r="G52" s="464">
        <v>0.62</v>
      </c>
      <c r="H52" s="464">
        <f>H50</f>
        <v>1.97</v>
      </c>
      <c r="I52" s="464">
        <f>I43</f>
        <v>2</v>
      </c>
      <c r="J52" s="464">
        <f>I52*H52*G52</f>
        <v>2.4428000000000001</v>
      </c>
      <c r="K52" s="465" t="str">
        <f>K48</f>
        <v>m2</v>
      </c>
      <c r="M52" s="470"/>
      <c r="N52" s="470"/>
      <c r="O52" s="482">
        <f>G52*H52*2*D43</f>
        <v>4.8856000000000002</v>
      </c>
      <c r="P52" s="500">
        <f>O52</f>
        <v>4.8856000000000002</v>
      </c>
      <c r="Q52" s="475"/>
      <c r="R52" s="475"/>
    </row>
    <row r="53" spans="1:18" s="466" customFormat="1">
      <c r="A53" s="468">
        <v>4</v>
      </c>
      <c r="B53" s="469"/>
      <c r="C53" s="463" t="s">
        <v>797</v>
      </c>
      <c r="D53" s="463"/>
      <c r="E53" s="463"/>
      <c r="F53" s="464"/>
      <c r="G53" s="464"/>
      <c r="H53" s="464"/>
      <c r="I53" s="464"/>
      <c r="J53" s="464">
        <f>SUM(J54:J56)</f>
        <v>20.629999999999995</v>
      </c>
      <c r="K53" s="465" t="s">
        <v>12</v>
      </c>
      <c r="M53" s="470"/>
      <c r="N53" s="470"/>
      <c r="O53" s="482"/>
      <c r="P53" s="483"/>
      <c r="Q53" s="475"/>
      <c r="R53" s="475"/>
    </row>
    <row r="54" spans="1:18" s="466" customFormat="1">
      <c r="A54" s="485"/>
      <c r="B54" s="486"/>
      <c r="C54" s="487"/>
      <c r="D54" s="487">
        <f>D40</f>
        <v>1</v>
      </c>
      <c r="E54" s="487" t="str">
        <f>E40</f>
        <v>Pintu P1</v>
      </c>
      <c r="F54" s="488"/>
      <c r="G54" s="488">
        <v>1.6</v>
      </c>
      <c r="H54" s="488">
        <v>0.71</v>
      </c>
      <c r="I54" s="488">
        <v>1</v>
      </c>
      <c r="J54" s="464">
        <f t="shared" ref="J54:J55" si="3">I54*H54*G54</f>
        <v>1.1359999999999999</v>
      </c>
      <c r="K54" s="481"/>
      <c r="M54" s="470"/>
      <c r="N54" s="470"/>
      <c r="O54" s="482"/>
      <c r="P54" s="483"/>
      <c r="Q54" s="475"/>
      <c r="R54" s="475"/>
    </row>
    <row r="55" spans="1:18" s="466" customFormat="1">
      <c r="A55" s="485"/>
      <c r="B55" s="486"/>
      <c r="C55" s="487"/>
      <c r="D55" s="487">
        <f>D44</f>
        <v>12</v>
      </c>
      <c r="E55" s="487" t="str">
        <f>E44</f>
        <v>Jendela Jv1</v>
      </c>
      <c r="F55" s="488"/>
      <c r="G55" s="488">
        <v>0.95</v>
      </c>
      <c r="H55" s="488">
        <v>0.71</v>
      </c>
      <c r="I55" s="488">
        <v>12</v>
      </c>
      <c r="J55" s="464">
        <f t="shared" si="3"/>
        <v>8.0939999999999994</v>
      </c>
      <c r="K55" s="481"/>
      <c r="M55" s="470"/>
      <c r="N55" s="470"/>
      <c r="O55" s="482"/>
      <c r="P55" s="483"/>
      <c r="Q55" s="475"/>
      <c r="R55" s="475"/>
    </row>
    <row r="56" spans="1:18" s="466" customFormat="1">
      <c r="A56" s="485"/>
      <c r="B56" s="486"/>
      <c r="C56" s="487"/>
      <c r="D56" s="487">
        <f>D45</f>
        <v>8</v>
      </c>
      <c r="E56" s="487" t="str">
        <f>E45</f>
        <v>J2</v>
      </c>
      <c r="F56" s="488"/>
      <c r="G56" s="488">
        <f>0.75</f>
        <v>0.75</v>
      </c>
      <c r="H56" s="488">
        <f>0.75+1.15</f>
        <v>1.9</v>
      </c>
      <c r="I56" s="488">
        <v>8</v>
      </c>
      <c r="J56" s="464">
        <f>I56*H56*G56</f>
        <v>11.399999999999999</v>
      </c>
      <c r="K56" s="481"/>
      <c r="M56" s="484">
        <f>G56</f>
        <v>0.75</v>
      </c>
      <c r="N56" s="470">
        <f>0.2*2</f>
        <v>0.4</v>
      </c>
      <c r="O56" s="482">
        <f>N56*M56*D56*14</f>
        <v>33.600000000000009</v>
      </c>
      <c r="P56" s="500">
        <f>O56</f>
        <v>33.600000000000009</v>
      </c>
      <c r="Q56" s="475"/>
      <c r="R56" s="475"/>
    </row>
    <row r="57" spans="1:18" s="466" customFormat="1">
      <c r="A57" s="485"/>
      <c r="B57" s="486"/>
      <c r="C57" s="487" t="s">
        <v>922</v>
      </c>
      <c r="D57" s="487"/>
      <c r="E57" s="487"/>
      <c r="F57" s="488">
        <f>E60</f>
        <v>0</v>
      </c>
      <c r="G57" s="488"/>
      <c r="H57" s="488"/>
      <c r="I57" s="488"/>
      <c r="J57" s="488">
        <f>SUM(J58:J59)</f>
        <v>95.84</v>
      </c>
      <c r="K57" s="481"/>
      <c r="M57" s="470"/>
      <c r="N57" s="470"/>
      <c r="O57" s="482"/>
      <c r="P57" s="483"/>
      <c r="Q57" s="475"/>
      <c r="R57" s="475"/>
    </row>
    <row r="58" spans="1:18" s="466" customFormat="1">
      <c r="A58" s="485"/>
      <c r="B58" s="486"/>
      <c r="C58" s="487"/>
      <c r="D58" s="487"/>
      <c r="E58" s="487"/>
      <c r="F58" s="488">
        <f>0.95*2+0.71*2</f>
        <v>3.32</v>
      </c>
      <c r="G58" s="488"/>
      <c r="H58" s="488"/>
      <c r="I58" s="488">
        <v>12</v>
      </c>
      <c r="J58" s="488">
        <f>I58*F58</f>
        <v>39.839999999999996</v>
      </c>
      <c r="K58" s="481"/>
      <c r="M58" s="470"/>
      <c r="N58" s="470"/>
      <c r="O58" s="482"/>
      <c r="P58" s="483"/>
      <c r="Q58" s="475"/>
      <c r="R58" s="475"/>
    </row>
    <row r="59" spans="1:18" s="466" customFormat="1">
      <c r="A59" s="485"/>
      <c r="B59" s="486"/>
      <c r="C59" s="487"/>
      <c r="D59" s="487"/>
      <c r="E59" s="487"/>
      <c r="F59" s="488">
        <f>1.9*2+0.8*4</f>
        <v>7</v>
      </c>
      <c r="G59" s="488"/>
      <c r="H59" s="488"/>
      <c r="I59" s="488">
        <f>I56</f>
        <v>8</v>
      </c>
      <c r="J59" s="488">
        <f>I59*F59</f>
        <v>56</v>
      </c>
      <c r="K59" s="481"/>
      <c r="M59" s="470"/>
      <c r="N59" s="470"/>
      <c r="O59" s="482"/>
      <c r="P59" s="483"/>
      <c r="Q59" s="475"/>
      <c r="R59" s="475"/>
    </row>
    <row r="60" spans="1:18" s="466" customFormat="1">
      <c r="A60" s="468"/>
      <c r="B60" s="469"/>
      <c r="C60" s="463" t="s">
        <v>798</v>
      </c>
      <c r="D60" s="463"/>
      <c r="E60" s="463"/>
      <c r="F60" s="464"/>
      <c r="G60" s="464"/>
      <c r="H60" s="464"/>
      <c r="I60" s="464"/>
      <c r="J60" s="464">
        <f>SUM(J61:J62)</f>
        <v>76.724000000000004</v>
      </c>
      <c r="K60" s="465" t="str">
        <f>K53</f>
        <v>m2</v>
      </c>
      <c r="M60" s="489"/>
      <c r="N60" s="489"/>
      <c r="O60" s="490">
        <f>J60*2</f>
        <v>153.44800000000001</v>
      </c>
      <c r="P60" s="483"/>
      <c r="Q60" s="475"/>
      <c r="R60" s="475"/>
    </row>
    <row r="61" spans="1:18" s="466" customFormat="1">
      <c r="A61" s="485"/>
      <c r="B61" s="486"/>
      <c r="C61" s="487"/>
      <c r="D61" s="487"/>
      <c r="E61" s="487"/>
      <c r="F61" s="488">
        <f>3*3+1-0.15-0.45</f>
        <v>9.4</v>
      </c>
      <c r="G61" s="488"/>
      <c r="H61" s="464">
        <v>3.56</v>
      </c>
      <c r="I61" s="464">
        <v>2</v>
      </c>
      <c r="J61" s="464">
        <f t="shared" ref="J61:J62" si="4">I61*H61*F61</f>
        <v>66.927999999999997</v>
      </c>
      <c r="K61" s="481"/>
      <c r="M61" s="475"/>
      <c r="N61" s="475"/>
      <c r="O61" s="491"/>
      <c r="P61" s="475"/>
      <c r="Q61" s="475"/>
      <c r="R61" s="475"/>
    </row>
    <row r="62" spans="1:18" s="466" customFormat="1">
      <c r="A62" s="468"/>
      <c r="B62" s="469"/>
      <c r="C62" s="463"/>
      <c r="D62" s="463"/>
      <c r="E62" s="463"/>
      <c r="F62" s="464">
        <v>1.55</v>
      </c>
      <c r="G62" s="464"/>
      <c r="H62" s="464">
        <f>H61-0.4</f>
        <v>3.16</v>
      </c>
      <c r="I62" s="464">
        <v>2</v>
      </c>
      <c r="J62" s="464">
        <f t="shared" si="4"/>
        <v>9.7960000000000012</v>
      </c>
      <c r="K62" s="465"/>
      <c r="O62" s="467"/>
      <c r="P62" s="475"/>
      <c r="Q62" s="475"/>
      <c r="R62" s="475"/>
    </row>
    <row r="63" spans="1:18" s="466" customFormat="1">
      <c r="A63" s="460" t="s">
        <v>470</v>
      </c>
      <c r="B63" s="461"/>
      <c r="C63" s="462" t="s">
        <v>799</v>
      </c>
      <c r="D63" s="463"/>
      <c r="E63" s="463"/>
      <c r="F63" s="464"/>
      <c r="G63" s="464"/>
      <c r="H63" s="464"/>
      <c r="I63" s="464"/>
      <c r="J63" s="464"/>
      <c r="K63" s="465"/>
      <c r="O63" s="467"/>
    </row>
    <row r="64" spans="1:18" s="466" customFormat="1">
      <c r="A64" s="468">
        <v>1</v>
      </c>
      <c r="B64" s="469"/>
      <c r="C64" s="463" t="s">
        <v>800</v>
      </c>
      <c r="D64" s="463"/>
      <c r="E64" s="463"/>
      <c r="F64" s="464"/>
      <c r="G64" s="464"/>
      <c r="H64" s="464"/>
      <c r="I64" s="464"/>
      <c r="J64" s="488">
        <f>SUM(J65:J68)</f>
        <v>45.732500000000002</v>
      </c>
      <c r="K64" s="465" t="s">
        <v>450</v>
      </c>
      <c r="O64" s="467"/>
    </row>
    <row r="65" spans="1:15" s="466" customFormat="1">
      <c r="A65" s="485"/>
      <c r="B65" s="486"/>
      <c r="C65" s="487"/>
      <c r="D65" s="487"/>
      <c r="E65" s="487" t="s">
        <v>628</v>
      </c>
      <c r="F65" s="464">
        <v>6.65</v>
      </c>
      <c r="G65" s="464">
        <v>6.25</v>
      </c>
      <c r="H65" s="464"/>
      <c r="I65" s="464">
        <v>1</v>
      </c>
      <c r="J65" s="488">
        <f>I65*G65*F65*1</f>
        <v>41.5625</v>
      </c>
      <c r="K65" s="481"/>
      <c r="O65" s="467"/>
    </row>
    <row r="66" spans="1:15" s="466" customFormat="1">
      <c r="A66" s="485"/>
      <c r="B66" s="486"/>
      <c r="C66" s="487"/>
      <c r="D66" s="487"/>
      <c r="E66" s="487" t="s">
        <v>960</v>
      </c>
      <c r="F66" s="488">
        <v>2.85</v>
      </c>
      <c r="G66" s="488">
        <v>1.6</v>
      </c>
      <c r="H66" s="488"/>
      <c r="I66" s="464">
        <v>1</v>
      </c>
      <c r="J66" s="488">
        <f>I66*G66*F66</f>
        <v>4.5600000000000005</v>
      </c>
      <c r="K66" s="481"/>
      <c r="O66" s="467"/>
    </row>
    <row r="67" spans="1:15" s="466" customFormat="1">
      <c r="A67" s="485"/>
      <c r="B67" s="486"/>
      <c r="C67" s="487"/>
      <c r="D67" s="487"/>
      <c r="E67" s="487" t="s">
        <v>531</v>
      </c>
      <c r="F67" s="488">
        <v>1.3</v>
      </c>
      <c r="G67" s="488">
        <v>0.3</v>
      </c>
      <c r="H67" s="488"/>
      <c r="I67" s="464">
        <v>-1</v>
      </c>
      <c r="J67" s="488">
        <f>I67*G67*F67</f>
        <v>-0.39</v>
      </c>
      <c r="K67" s="481"/>
      <c r="O67" s="467"/>
    </row>
    <row r="68" spans="1:15" s="466" customFormat="1">
      <c r="A68" s="485"/>
      <c r="B68" s="486"/>
      <c r="C68" s="487"/>
      <c r="D68" s="487"/>
      <c r="E68" s="487" t="s">
        <v>961</v>
      </c>
      <c r="F68" s="488">
        <v>1.6</v>
      </c>
      <c r="G68" s="488">
        <v>3.35</v>
      </c>
      <c r="H68" s="488"/>
      <c r="I68" s="464">
        <v>0</v>
      </c>
      <c r="J68" s="488">
        <f>I68*G68*F68</f>
        <v>0</v>
      </c>
      <c r="K68" s="481"/>
      <c r="O68" s="467"/>
    </row>
    <row r="69" spans="1:15" s="466" customFormat="1">
      <c r="A69" s="485"/>
      <c r="B69" s="486"/>
      <c r="C69" s="463" t="s">
        <v>802</v>
      </c>
      <c r="D69" s="463"/>
      <c r="E69" s="463"/>
      <c r="F69" s="464">
        <f>F65*2+G65*2-1.6*3-0.9*4</f>
        <v>17.399999999999999</v>
      </c>
      <c r="G69" s="464"/>
      <c r="H69" s="464"/>
      <c r="I69" s="464">
        <v>1</v>
      </c>
      <c r="J69" s="464">
        <f>I69*F69</f>
        <v>17.399999999999999</v>
      </c>
      <c r="K69" s="465" t="s">
        <v>20</v>
      </c>
      <c r="O69" s="467"/>
    </row>
    <row r="70" spans="1:15" s="466" customFormat="1">
      <c r="A70" s="468">
        <v>2</v>
      </c>
      <c r="B70" s="469"/>
      <c r="C70" s="463" t="s">
        <v>801</v>
      </c>
      <c r="D70" s="463"/>
      <c r="E70" s="463"/>
      <c r="F70" s="464"/>
      <c r="G70" s="464"/>
      <c r="H70" s="464"/>
      <c r="I70" s="464"/>
      <c r="J70" s="464">
        <f>SUM(J71:J72)*0</f>
        <v>0</v>
      </c>
      <c r="K70" s="465" t="s">
        <v>450</v>
      </c>
      <c r="O70" s="467"/>
    </row>
    <row r="71" spans="1:15" s="466" customFormat="1">
      <c r="A71" s="485"/>
      <c r="B71" s="486"/>
      <c r="C71" s="487"/>
      <c r="D71" s="487"/>
      <c r="E71" s="487"/>
      <c r="F71" s="488">
        <f>2.75</f>
        <v>2.75</v>
      </c>
      <c r="G71" s="488">
        <f>3.73</f>
        <v>3.73</v>
      </c>
      <c r="H71" s="488"/>
      <c r="I71" s="488">
        <v>2</v>
      </c>
      <c r="J71" s="488">
        <f>I71*G71*F71</f>
        <v>20.515000000000001</v>
      </c>
      <c r="K71" s="481"/>
      <c r="O71" s="467"/>
    </row>
    <row r="72" spans="1:15" s="466" customFormat="1">
      <c r="A72" s="485"/>
      <c r="B72" s="486"/>
      <c r="C72" s="487"/>
      <c r="D72" s="487"/>
      <c r="E72" s="487"/>
      <c r="F72" s="488">
        <v>1.75</v>
      </c>
      <c r="G72" s="488">
        <v>1.6</v>
      </c>
      <c r="H72" s="488"/>
      <c r="I72" s="488">
        <v>2</v>
      </c>
      <c r="J72" s="488">
        <f>I72*G72*F72</f>
        <v>5.6000000000000005</v>
      </c>
      <c r="K72" s="481"/>
      <c r="O72" s="467"/>
    </row>
    <row r="73" spans="1:15" s="466" customFormat="1">
      <c r="A73" s="468">
        <v>4</v>
      </c>
      <c r="B73" s="469"/>
      <c r="C73" s="463" t="s">
        <v>803</v>
      </c>
      <c r="D73" s="463"/>
      <c r="E73" s="463"/>
      <c r="F73" s="464">
        <v>1.3</v>
      </c>
      <c r="G73" s="464">
        <f>4.5+3.75/2</f>
        <v>6.375</v>
      </c>
      <c r="H73" s="464"/>
      <c r="I73" s="464">
        <v>2</v>
      </c>
      <c r="J73" s="488">
        <f>I73*G73*F73</f>
        <v>16.574999999999999</v>
      </c>
      <c r="K73" s="465" t="str">
        <f>K70</f>
        <v>m²</v>
      </c>
      <c r="O73" s="467"/>
    </row>
    <row r="74" spans="1:15" s="466" customFormat="1">
      <c r="A74" s="468">
        <v>5</v>
      </c>
      <c r="B74" s="469"/>
      <c r="C74" s="463" t="s">
        <v>804</v>
      </c>
      <c r="D74" s="463"/>
      <c r="E74" s="463"/>
      <c r="F74" s="464"/>
      <c r="G74" s="464"/>
      <c r="H74" s="464"/>
      <c r="I74" s="464"/>
      <c r="J74" s="464">
        <f>SUM(J75:J77)</f>
        <v>15.057500000000005</v>
      </c>
      <c r="K74" s="465" t="str">
        <f>K70</f>
        <v>m²</v>
      </c>
      <c r="O74" s="467"/>
    </row>
    <row r="75" spans="1:15" s="466" customFormat="1">
      <c r="A75" s="485"/>
      <c r="B75" s="486"/>
      <c r="C75" s="487"/>
      <c r="D75" s="487"/>
      <c r="E75" s="487"/>
      <c r="F75" s="488">
        <f>6.65-1.6</f>
        <v>5.0500000000000007</v>
      </c>
      <c r="G75" s="488">
        <v>3.35</v>
      </c>
      <c r="H75" s="488"/>
      <c r="I75" s="488">
        <v>1</v>
      </c>
      <c r="J75" s="488">
        <f>I75*G75*F75</f>
        <v>16.917500000000004</v>
      </c>
      <c r="K75" s="481"/>
      <c r="O75" s="467"/>
    </row>
    <row r="76" spans="1:15" s="466" customFormat="1">
      <c r="A76" s="485"/>
      <c r="B76" s="486"/>
      <c r="C76" s="487"/>
      <c r="D76" s="487"/>
      <c r="E76" s="487" t="s">
        <v>449</v>
      </c>
      <c r="F76" s="488">
        <f>3+1.9-0.3*2+3.2+1.35*2</f>
        <v>10.200000000000001</v>
      </c>
      <c r="G76" s="488">
        <v>0.15</v>
      </c>
      <c r="H76" s="488"/>
      <c r="I76" s="488">
        <v>-1</v>
      </c>
      <c r="J76" s="488">
        <f t="shared" ref="J76:J77" si="5">I76*G76*F76</f>
        <v>-1.53</v>
      </c>
      <c r="K76" s="481"/>
      <c r="O76" s="467"/>
    </row>
    <row r="77" spans="1:15" s="466" customFormat="1">
      <c r="A77" s="485"/>
      <c r="B77" s="486"/>
      <c r="C77" s="487"/>
      <c r="D77" s="487"/>
      <c r="E77" s="487" t="s">
        <v>600</v>
      </c>
      <c r="F77" s="488">
        <f>0.55</f>
        <v>0.55000000000000004</v>
      </c>
      <c r="G77" s="488">
        <v>0.3</v>
      </c>
      <c r="H77" s="488"/>
      <c r="I77" s="488">
        <v>-2</v>
      </c>
      <c r="J77" s="488">
        <f t="shared" si="5"/>
        <v>-0.33</v>
      </c>
      <c r="K77" s="481"/>
      <c r="O77" s="467"/>
    </row>
    <row r="78" spans="1:15" s="466" customFormat="1">
      <c r="A78" s="468">
        <v>6</v>
      </c>
      <c r="B78" s="469"/>
      <c r="C78" s="463" t="s">
        <v>805</v>
      </c>
      <c r="D78" s="463"/>
      <c r="E78" s="463"/>
      <c r="F78" s="464"/>
      <c r="G78" s="464"/>
      <c r="H78" s="464"/>
      <c r="I78" s="464"/>
      <c r="J78" s="464"/>
      <c r="K78" s="465" t="str">
        <f>K74</f>
        <v>m²</v>
      </c>
      <c r="O78" s="467"/>
    </row>
    <row r="79" spans="1:15" s="466" customFormat="1">
      <c r="A79" s="485"/>
      <c r="B79" s="486"/>
      <c r="C79" s="487"/>
      <c r="D79" s="492"/>
      <c r="E79" s="492" t="s">
        <v>950</v>
      </c>
      <c r="F79" s="488">
        <f>1.85*2+1.35*2-0.7</f>
        <v>5.7</v>
      </c>
      <c r="G79" s="488"/>
      <c r="H79" s="488">
        <v>2</v>
      </c>
      <c r="I79" s="488">
        <v>0</v>
      </c>
      <c r="J79" s="488">
        <f>I79*H79*F79</f>
        <v>0</v>
      </c>
      <c r="K79" s="481"/>
      <c r="O79" s="467"/>
    </row>
    <row r="80" spans="1:15" s="466" customFormat="1">
      <c r="A80" s="485"/>
      <c r="B80" s="486"/>
      <c r="C80" s="487"/>
      <c r="D80" s="492"/>
      <c r="E80" s="492"/>
      <c r="F80" s="488"/>
      <c r="G80" s="488"/>
      <c r="H80" s="488"/>
      <c r="I80" s="488"/>
      <c r="J80" s="488"/>
      <c r="K80" s="481"/>
      <c r="O80" s="467"/>
    </row>
    <row r="81" spans="1:15" s="466" customFormat="1">
      <c r="A81" s="485"/>
      <c r="B81" s="486"/>
      <c r="C81" s="487"/>
      <c r="D81" s="492"/>
      <c r="E81" s="492"/>
      <c r="F81" s="488"/>
      <c r="G81" s="488"/>
      <c r="H81" s="488"/>
      <c r="I81" s="488"/>
      <c r="J81" s="488"/>
      <c r="K81" s="481"/>
      <c r="O81" s="467"/>
    </row>
    <row r="82" spans="1:15" s="466" customFormat="1">
      <c r="A82" s="468">
        <v>7</v>
      </c>
      <c r="B82" s="469"/>
      <c r="C82" s="463" t="s">
        <v>907</v>
      </c>
      <c r="D82" s="492"/>
      <c r="E82" s="492"/>
      <c r="F82" s="464">
        <f>F61</f>
        <v>9.4</v>
      </c>
      <c r="G82" s="464"/>
      <c r="H82" s="464"/>
      <c r="I82" s="464">
        <v>4</v>
      </c>
      <c r="J82" s="464">
        <f>I82*F82</f>
        <v>37.6</v>
      </c>
      <c r="K82" s="465" t="str">
        <f>K78</f>
        <v>m²</v>
      </c>
      <c r="N82" s="466">
        <f>27-3</f>
        <v>24</v>
      </c>
      <c r="O82" s="467"/>
    </row>
    <row r="83" spans="1:15" s="466" customFormat="1">
      <c r="A83" s="468"/>
      <c r="B83" s="469"/>
      <c r="C83" s="463"/>
      <c r="D83" s="463"/>
      <c r="E83" s="463"/>
      <c r="F83" s="464"/>
      <c r="G83" s="464"/>
      <c r="H83" s="464"/>
      <c r="I83" s="464"/>
      <c r="J83" s="464"/>
      <c r="K83" s="465"/>
      <c r="N83" s="466">
        <f>N82/3</f>
        <v>8</v>
      </c>
      <c r="O83" s="467"/>
    </row>
    <row r="84" spans="1:15" s="466" customFormat="1">
      <c r="A84" s="460" t="s">
        <v>471</v>
      </c>
      <c r="B84" s="461"/>
      <c r="C84" s="462" t="s">
        <v>806</v>
      </c>
      <c r="D84" s="463"/>
      <c r="E84" s="463"/>
      <c r="F84" s="464"/>
      <c r="G84" s="464"/>
      <c r="H84" s="464"/>
      <c r="I84" s="464"/>
      <c r="J84" s="464"/>
      <c r="K84" s="465"/>
      <c r="O84" s="467"/>
    </row>
    <row r="85" spans="1:15" s="466" customFormat="1">
      <c r="A85" s="468">
        <v>1</v>
      </c>
      <c r="B85" s="469"/>
      <c r="C85" s="463" t="s">
        <v>807</v>
      </c>
      <c r="D85" s="463"/>
      <c r="E85" s="463"/>
      <c r="F85" s="464"/>
      <c r="G85" s="464"/>
      <c r="H85" s="464"/>
      <c r="I85" s="464"/>
      <c r="J85" s="464">
        <f>J86+J93</f>
        <v>41.484500000000004</v>
      </c>
      <c r="K85" s="465" t="s">
        <v>450</v>
      </c>
      <c r="O85" s="467"/>
    </row>
    <row r="86" spans="1:15" s="466" customFormat="1">
      <c r="A86" s="468">
        <v>2</v>
      </c>
      <c r="B86" s="469"/>
      <c r="C86" s="493" t="s">
        <v>833</v>
      </c>
      <c r="D86" s="463"/>
      <c r="E86" s="463"/>
      <c r="F86" s="464"/>
      <c r="G86" s="464"/>
      <c r="H86" s="464"/>
      <c r="I86" s="464"/>
      <c r="J86" s="464">
        <f>SUM(J87:J92)</f>
        <v>41.484500000000004</v>
      </c>
      <c r="K86" s="465" t="s">
        <v>450</v>
      </c>
      <c r="O86" s="467"/>
    </row>
    <row r="87" spans="1:15" s="466" customFormat="1">
      <c r="A87" s="485"/>
      <c r="B87" s="486"/>
      <c r="C87" s="487"/>
      <c r="D87" s="487"/>
      <c r="E87" s="487"/>
      <c r="F87" s="488">
        <f>26.65-3</f>
        <v>23.65</v>
      </c>
      <c r="G87" s="488">
        <f>9.7</f>
        <v>9.6999999999999993</v>
      </c>
      <c r="H87" s="488"/>
      <c r="I87" s="488">
        <v>0</v>
      </c>
      <c r="J87" s="464">
        <f>I87*G87*F87</f>
        <v>0</v>
      </c>
      <c r="K87" s="481"/>
      <c r="O87" s="467"/>
    </row>
    <row r="88" spans="1:15" s="466" customFormat="1">
      <c r="A88" s="485"/>
      <c r="B88" s="486"/>
      <c r="C88" s="487"/>
      <c r="D88" s="487"/>
      <c r="E88" s="487"/>
      <c r="F88" s="488">
        <v>0.65</v>
      </c>
      <c r="G88" s="488">
        <v>6.7</v>
      </c>
      <c r="H88" s="488"/>
      <c r="I88" s="488">
        <v>0</v>
      </c>
      <c r="J88" s="464">
        <f t="shared" ref="J88:J93" si="6">I88*G88*F88</f>
        <v>0</v>
      </c>
      <c r="K88" s="481"/>
      <c r="O88" s="467"/>
    </row>
    <row r="89" spans="1:15" s="466" customFormat="1">
      <c r="A89" s="485"/>
      <c r="B89" s="486"/>
      <c r="C89" s="487"/>
      <c r="D89" s="487"/>
      <c r="E89" s="487"/>
      <c r="F89" s="488">
        <v>0.45</v>
      </c>
      <c r="G89" s="488">
        <v>5.7</v>
      </c>
      <c r="H89" s="488"/>
      <c r="I89" s="488">
        <v>0</v>
      </c>
      <c r="J89" s="464">
        <f t="shared" si="6"/>
        <v>0</v>
      </c>
      <c r="K89" s="481"/>
      <c r="O89" s="467"/>
    </row>
    <row r="90" spans="1:15" s="466" customFormat="1">
      <c r="A90" s="485"/>
      <c r="B90" s="486"/>
      <c r="C90" s="487"/>
      <c r="D90" s="487"/>
      <c r="E90" s="487"/>
      <c r="F90" s="488">
        <v>27.85</v>
      </c>
      <c r="G90" s="488">
        <v>1.65</v>
      </c>
      <c r="H90" s="488"/>
      <c r="I90" s="488">
        <v>0</v>
      </c>
      <c r="J90" s="464">
        <f t="shared" si="6"/>
        <v>0</v>
      </c>
      <c r="K90" s="481"/>
      <c r="O90" s="467"/>
    </row>
    <row r="91" spans="1:15" s="466" customFormat="1">
      <c r="A91" s="485"/>
      <c r="B91" s="486"/>
      <c r="C91" s="487"/>
      <c r="D91" s="487"/>
      <c r="E91" s="487" t="s">
        <v>628</v>
      </c>
      <c r="F91" s="488">
        <v>6.65</v>
      </c>
      <c r="G91" s="488">
        <f>7.73-3.3</f>
        <v>4.4300000000000006</v>
      </c>
      <c r="H91" s="488"/>
      <c r="I91" s="488">
        <v>1</v>
      </c>
      <c r="J91" s="464">
        <f t="shared" si="6"/>
        <v>29.459500000000006</v>
      </c>
      <c r="K91" s="481"/>
      <c r="O91" s="467"/>
    </row>
    <row r="92" spans="1:15" s="466" customFormat="1" ht="15" customHeight="1">
      <c r="A92" s="485"/>
      <c r="B92" s="486"/>
      <c r="C92" s="487"/>
      <c r="D92" s="487"/>
      <c r="E92" s="487" t="s">
        <v>966</v>
      </c>
      <c r="F92" s="488">
        <f>6.65-0.15</f>
        <v>6.5</v>
      </c>
      <c r="G92" s="488">
        <v>1.85</v>
      </c>
      <c r="H92" s="488"/>
      <c r="I92" s="488">
        <v>1</v>
      </c>
      <c r="J92" s="464">
        <f t="shared" si="6"/>
        <v>12.025</v>
      </c>
      <c r="K92" s="481"/>
      <c r="O92" s="467"/>
    </row>
    <row r="93" spans="1:15" s="466" customFormat="1">
      <c r="A93" s="468">
        <v>3</v>
      </c>
      <c r="B93" s="469"/>
      <c r="C93" s="463" t="s">
        <v>808</v>
      </c>
      <c r="D93" s="463"/>
      <c r="E93" s="463"/>
      <c r="F93" s="464">
        <f>6.8</f>
        <v>6.8</v>
      </c>
      <c r="G93" s="464">
        <f>1.85</f>
        <v>1.85</v>
      </c>
      <c r="H93" s="464"/>
      <c r="I93" s="464">
        <v>0</v>
      </c>
      <c r="J93" s="464">
        <f t="shared" si="6"/>
        <v>0</v>
      </c>
      <c r="K93" s="465" t="s">
        <v>450</v>
      </c>
      <c r="O93" s="467"/>
    </row>
    <row r="94" spans="1:15" s="466" customFormat="1">
      <c r="A94" s="468">
        <v>4</v>
      </c>
      <c r="B94" s="469"/>
      <c r="C94" s="463" t="s">
        <v>934</v>
      </c>
      <c r="D94" s="463"/>
      <c r="E94" s="463"/>
      <c r="F94" s="464"/>
      <c r="G94" s="464"/>
      <c r="H94" s="464"/>
      <c r="I94" s="464"/>
      <c r="J94" s="464">
        <f>SUM(J95:J98)</f>
        <v>42.56</v>
      </c>
      <c r="K94" s="465" t="s">
        <v>20</v>
      </c>
      <c r="O94" s="467"/>
    </row>
    <row r="95" spans="1:15" s="466" customFormat="1">
      <c r="A95" s="485"/>
      <c r="B95" s="486"/>
      <c r="C95" s="487"/>
      <c r="D95" s="487"/>
      <c r="E95" s="487" t="s">
        <v>628</v>
      </c>
      <c r="F95" s="488">
        <f>F91*2+G91*2</f>
        <v>22.160000000000004</v>
      </c>
      <c r="G95" s="488"/>
      <c r="H95" s="488"/>
      <c r="I95" s="488">
        <v>1</v>
      </c>
      <c r="J95" s="464">
        <f>I95*F95</f>
        <v>22.160000000000004</v>
      </c>
      <c r="K95" s="481"/>
      <c r="O95" s="467"/>
    </row>
    <row r="96" spans="1:15" s="466" customFormat="1">
      <c r="A96" s="485"/>
      <c r="B96" s="486"/>
      <c r="C96" s="487"/>
      <c r="D96" s="487"/>
      <c r="E96" s="487" t="s">
        <v>612</v>
      </c>
      <c r="F96" s="488">
        <f>F92*2+G92*4</f>
        <v>20.399999999999999</v>
      </c>
      <c r="G96" s="488"/>
      <c r="H96" s="488"/>
      <c r="I96" s="488">
        <v>1</v>
      </c>
      <c r="J96" s="464">
        <f t="shared" ref="J96:J98" si="7">I96*F96</f>
        <v>20.399999999999999</v>
      </c>
      <c r="K96" s="481"/>
      <c r="O96" s="467"/>
    </row>
    <row r="97" spans="1:15" s="466" customFormat="1">
      <c r="A97" s="485"/>
      <c r="B97" s="486"/>
      <c r="C97" s="487"/>
      <c r="D97" s="487"/>
      <c r="E97" s="487" t="s">
        <v>612</v>
      </c>
      <c r="F97" s="488">
        <f>6.85*2+5*3+1.35*6</f>
        <v>36.799999999999997</v>
      </c>
      <c r="G97" s="488"/>
      <c r="H97" s="488"/>
      <c r="I97" s="488">
        <v>0</v>
      </c>
      <c r="J97" s="464">
        <f t="shared" si="7"/>
        <v>0</v>
      </c>
      <c r="K97" s="481"/>
      <c r="O97" s="467"/>
    </row>
    <row r="98" spans="1:15" s="466" customFormat="1">
      <c r="A98" s="485"/>
      <c r="B98" s="486"/>
      <c r="C98" s="487"/>
      <c r="D98" s="487"/>
      <c r="E98" s="487" t="s">
        <v>630</v>
      </c>
      <c r="F98" s="488">
        <f>26.85*4+1.65*4</f>
        <v>114</v>
      </c>
      <c r="G98" s="488"/>
      <c r="H98" s="488"/>
      <c r="I98" s="488">
        <v>0</v>
      </c>
      <c r="J98" s="464">
        <f t="shared" si="7"/>
        <v>0</v>
      </c>
      <c r="K98" s="481"/>
      <c r="O98" s="467"/>
    </row>
    <row r="99" spans="1:15" s="466" customFormat="1">
      <c r="A99" s="485"/>
      <c r="B99" s="486"/>
      <c r="C99" s="487"/>
      <c r="D99" s="487"/>
      <c r="E99" s="487"/>
      <c r="F99" s="488"/>
      <c r="G99" s="488"/>
      <c r="H99" s="488"/>
      <c r="I99" s="488"/>
      <c r="J99" s="488"/>
      <c r="K99" s="481"/>
      <c r="O99" s="467"/>
    </row>
    <row r="100" spans="1:15" s="466" customFormat="1">
      <c r="A100" s="485"/>
      <c r="B100" s="486"/>
      <c r="C100" s="487"/>
      <c r="D100" s="487"/>
      <c r="E100" s="487"/>
      <c r="F100" s="488"/>
      <c r="G100" s="488"/>
      <c r="H100" s="488"/>
      <c r="I100" s="488"/>
      <c r="J100" s="488"/>
      <c r="K100" s="481"/>
      <c r="O100" s="467"/>
    </row>
    <row r="101" spans="1:15" s="466" customFormat="1">
      <c r="A101" s="485"/>
      <c r="B101" s="486"/>
      <c r="C101" s="487"/>
      <c r="D101" s="487"/>
      <c r="E101" s="487"/>
      <c r="F101" s="488"/>
      <c r="G101" s="488"/>
      <c r="H101" s="488"/>
      <c r="I101" s="488"/>
      <c r="J101" s="488"/>
      <c r="K101" s="481"/>
      <c r="O101" s="467"/>
    </row>
    <row r="102" spans="1:15" s="466" customFormat="1">
      <c r="A102" s="468"/>
      <c r="B102" s="469"/>
      <c r="C102" s="463"/>
      <c r="D102" s="463"/>
      <c r="E102" s="463"/>
      <c r="F102" s="464"/>
      <c r="G102" s="464"/>
      <c r="H102" s="464"/>
      <c r="I102" s="464"/>
      <c r="J102" s="464"/>
      <c r="K102" s="465"/>
      <c r="O102" s="467"/>
    </row>
    <row r="103" spans="1:15" s="466" customFormat="1">
      <c r="A103" s="494"/>
      <c r="B103" s="495"/>
      <c r="C103" s="495"/>
      <c r="D103" s="495"/>
      <c r="E103" s="495"/>
      <c r="F103" s="464"/>
      <c r="G103" s="464"/>
      <c r="H103" s="464"/>
      <c r="I103" s="464"/>
      <c r="J103" s="464"/>
      <c r="K103" s="465"/>
      <c r="O103" s="467"/>
    </row>
    <row r="104" spans="1:15" s="466" customFormat="1">
      <c r="A104" s="1929" t="s">
        <v>0</v>
      </c>
      <c r="B104" s="1930" t="s">
        <v>412</v>
      </c>
      <c r="C104" s="1930"/>
      <c r="D104" s="1930"/>
      <c r="E104" s="1931"/>
      <c r="F104" s="496"/>
      <c r="G104" s="496"/>
      <c r="H104" s="496"/>
      <c r="I104" s="496"/>
      <c r="J104" s="1932" t="s">
        <v>413</v>
      </c>
      <c r="K104" s="1932" t="s">
        <v>414</v>
      </c>
      <c r="O104" s="467"/>
    </row>
    <row r="105" spans="1:15" s="466" customFormat="1">
      <c r="A105" s="1929"/>
      <c r="B105" s="1930"/>
      <c r="C105" s="1930"/>
      <c r="D105" s="1930"/>
      <c r="E105" s="1931"/>
      <c r="F105" s="496"/>
      <c r="G105" s="496"/>
      <c r="H105" s="496"/>
      <c r="I105" s="496"/>
      <c r="J105" s="1932"/>
      <c r="K105" s="1932"/>
      <c r="O105" s="467"/>
    </row>
    <row r="106" spans="1:15" s="466" customFormat="1">
      <c r="A106" s="497"/>
      <c r="B106" s="498"/>
      <c r="C106" s="492"/>
      <c r="D106" s="492"/>
      <c r="E106" s="492"/>
      <c r="F106" s="464"/>
      <c r="G106" s="464"/>
      <c r="H106" s="464"/>
      <c r="I106" s="464"/>
      <c r="J106" s="464"/>
      <c r="K106" s="465"/>
      <c r="O106" s="467"/>
    </row>
    <row r="107" spans="1:15" s="466" customFormat="1">
      <c r="A107" s="460" t="s">
        <v>479</v>
      </c>
      <c r="B107" s="461"/>
      <c r="C107" s="462" t="s">
        <v>472</v>
      </c>
      <c r="D107" s="463"/>
      <c r="E107" s="463"/>
      <c r="F107" s="464"/>
      <c r="G107" s="464"/>
      <c r="H107" s="464"/>
      <c r="I107" s="464"/>
      <c r="J107" s="464"/>
      <c r="K107" s="465"/>
      <c r="O107" s="467"/>
    </row>
    <row r="108" spans="1:15" s="466" customFormat="1">
      <c r="A108" s="468">
        <v>1</v>
      </c>
      <c r="B108" s="469"/>
      <c r="C108" s="463" t="s">
        <v>473</v>
      </c>
      <c r="D108" s="463"/>
      <c r="E108" s="463"/>
      <c r="F108" s="464"/>
      <c r="G108" s="464"/>
      <c r="H108" s="464"/>
      <c r="I108" s="464">
        <v>9</v>
      </c>
      <c r="J108" s="464">
        <f>I108</f>
        <v>9</v>
      </c>
      <c r="K108" s="465" t="s">
        <v>7</v>
      </c>
      <c r="O108" s="467"/>
    </row>
    <row r="109" spans="1:15" s="466" customFormat="1">
      <c r="A109" s="468">
        <v>2</v>
      </c>
      <c r="B109" s="469"/>
      <c r="C109" s="463" t="s">
        <v>474</v>
      </c>
      <c r="D109" s="463"/>
      <c r="E109" s="463"/>
      <c r="F109" s="464"/>
      <c r="G109" s="464"/>
      <c r="H109" s="464"/>
      <c r="I109" s="464">
        <f>9*3/2</f>
        <v>13.5</v>
      </c>
      <c r="J109" s="464">
        <f>I109</f>
        <v>13.5</v>
      </c>
      <c r="K109" s="465" t="s">
        <v>18</v>
      </c>
      <c r="O109" s="467"/>
    </row>
    <row r="110" spans="1:15" s="466" customFormat="1">
      <c r="A110" s="468">
        <v>3</v>
      </c>
      <c r="B110" s="469"/>
      <c r="C110" s="463" t="s">
        <v>475</v>
      </c>
      <c r="D110" s="463"/>
      <c r="E110" s="463"/>
      <c r="F110" s="464"/>
      <c r="G110" s="464"/>
      <c r="H110" s="464"/>
      <c r="I110" s="464">
        <f>9+3</f>
        <v>12</v>
      </c>
      <c r="J110" s="464">
        <f>I110</f>
        <v>12</v>
      </c>
      <c r="K110" s="465" t="str">
        <f>K108</f>
        <v>bh</v>
      </c>
      <c r="O110" s="467"/>
    </row>
    <row r="111" spans="1:15" s="466" customFormat="1">
      <c r="A111" s="468">
        <v>4</v>
      </c>
      <c r="B111" s="469"/>
      <c r="C111" s="463" t="s">
        <v>476</v>
      </c>
      <c r="D111" s="463"/>
      <c r="E111" s="463"/>
      <c r="F111" s="464"/>
      <c r="G111" s="464"/>
      <c r="H111" s="464"/>
      <c r="I111" s="464">
        <f>3*12+2</f>
        <v>38</v>
      </c>
      <c r="J111" s="464">
        <f t="shared" ref="J111:J113" si="8">I111</f>
        <v>38</v>
      </c>
      <c r="K111" s="465" t="str">
        <f>K109</f>
        <v>ps</v>
      </c>
      <c r="O111" s="467"/>
    </row>
    <row r="112" spans="1:15" s="466" customFormat="1">
      <c r="A112" s="468">
        <v>5</v>
      </c>
      <c r="B112" s="469"/>
      <c r="C112" s="463" t="s">
        <v>477</v>
      </c>
      <c r="D112" s="463"/>
      <c r="E112" s="463"/>
      <c r="F112" s="464"/>
      <c r="G112" s="464"/>
      <c r="H112" s="464"/>
      <c r="I112" s="464">
        <f>3*12+2</f>
        <v>38</v>
      </c>
      <c r="J112" s="464">
        <f t="shared" si="8"/>
        <v>38</v>
      </c>
      <c r="K112" s="465" t="str">
        <f>K110</f>
        <v>bh</v>
      </c>
      <c r="O112" s="467"/>
    </row>
    <row r="113" spans="1:15" s="466" customFormat="1">
      <c r="A113" s="468">
        <v>6</v>
      </c>
      <c r="B113" s="469"/>
      <c r="C113" s="463" t="s">
        <v>478</v>
      </c>
      <c r="D113" s="463"/>
      <c r="E113" s="463"/>
      <c r="F113" s="464"/>
      <c r="G113" s="464"/>
      <c r="H113" s="464"/>
      <c r="I113" s="464">
        <f>I112</f>
        <v>38</v>
      </c>
      <c r="J113" s="464">
        <f t="shared" si="8"/>
        <v>38</v>
      </c>
      <c r="K113" s="465" t="str">
        <f>K111</f>
        <v>ps</v>
      </c>
      <c r="O113" s="467"/>
    </row>
    <row r="114" spans="1:15" s="466" customFormat="1">
      <c r="A114" s="468"/>
      <c r="B114" s="469"/>
      <c r="C114" s="463"/>
      <c r="D114" s="463"/>
      <c r="E114" s="463"/>
      <c r="F114" s="464"/>
      <c r="G114" s="464"/>
      <c r="H114" s="464"/>
      <c r="I114" s="464"/>
      <c r="J114" s="464"/>
      <c r="K114" s="465"/>
      <c r="O114" s="467"/>
    </row>
    <row r="115" spans="1:15" s="466" customFormat="1">
      <c r="A115" s="460" t="s">
        <v>482</v>
      </c>
      <c r="B115" s="461"/>
      <c r="C115" s="462" t="s">
        <v>480</v>
      </c>
      <c r="D115" s="463"/>
      <c r="E115" s="463"/>
      <c r="F115" s="464"/>
      <c r="G115" s="464"/>
      <c r="H115" s="464"/>
      <c r="I115" s="464"/>
      <c r="J115" s="464"/>
      <c r="K115" s="465"/>
      <c r="O115" s="467"/>
    </row>
    <row r="116" spans="1:15" s="466" customFormat="1">
      <c r="A116" s="468">
        <v>1</v>
      </c>
      <c r="B116" s="469"/>
      <c r="C116" s="386" t="s">
        <v>968</v>
      </c>
      <c r="D116" s="386" t="s">
        <v>971</v>
      </c>
      <c r="E116" s="463"/>
      <c r="F116" s="464"/>
      <c r="G116" s="464"/>
      <c r="H116" s="464"/>
      <c r="I116" s="464"/>
      <c r="J116" s="464">
        <f>O38-J117</f>
        <v>138.11360000000002</v>
      </c>
      <c r="K116" s="465" t="str">
        <f>K64</f>
        <v>m²</v>
      </c>
      <c r="O116" s="467"/>
    </row>
    <row r="117" spans="1:15" s="466" customFormat="1">
      <c r="A117" s="485"/>
      <c r="B117" s="486"/>
      <c r="C117" s="386" t="s">
        <v>971</v>
      </c>
      <c r="D117" s="386" t="s">
        <v>968</v>
      </c>
      <c r="E117" s="487"/>
      <c r="F117" s="488"/>
      <c r="G117" s="488"/>
      <c r="H117" s="488"/>
      <c r="I117" s="488"/>
      <c r="J117" s="488">
        <f>P38</f>
        <v>78.34320000000001</v>
      </c>
      <c r="K117" s="481"/>
      <c r="O117" s="467"/>
    </row>
    <row r="118" spans="1:15" s="466" customFormat="1">
      <c r="A118" s="468">
        <v>2</v>
      </c>
      <c r="B118" s="469"/>
      <c r="C118" s="463" t="s">
        <v>918</v>
      </c>
      <c r="D118" s="463"/>
      <c r="E118" s="463"/>
      <c r="F118" s="464"/>
      <c r="G118" s="464"/>
      <c r="H118" s="464"/>
      <c r="I118" s="464"/>
      <c r="J118" s="464">
        <f>J60*2</f>
        <v>153.44800000000001</v>
      </c>
      <c r="K118" s="465" t="str">
        <f>K116</f>
        <v>m²</v>
      </c>
      <c r="O118" s="467"/>
    </row>
    <row r="119" spans="1:15" s="466" customFormat="1">
      <c r="A119" s="468">
        <v>3</v>
      </c>
      <c r="B119" s="469"/>
      <c r="C119" s="463" t="s">
        <v>809</v>
      </c>
      <c r="D119" s="463"/>
      <c r="E119" s="463"/>
      <c r="F119" s="464"/>
      <c r="G119" s="464"/>
      <c r="H119" s="464"/>
      <c r="I119" s="464"/>
      <c r="J119" s="464">
        <f>SUM(J120:J132)+1.8</f>
        <v>746.2589999999999</v>
      </c>
      <c r="K119" s="465" t="str">
        <f>K116</f>
        <v>m²</v>
      </c>
      <c r="O119" s="467"/>
    </row>
    <row r="120" spans="1:15" s="466" customFormat="1">
      <c r="A120" s="485"/>
      <c r="B120" s="486"/>
      <c r="C120" s="487"/>
      <c r="D120" s="487"/>
      <c r="E120" s="487" t="s">
        <v>552</v>
      </c>
      <c r="F120" s="488">
        <f>26.85*2+9.85*4+11.35*2+6.8*2+1.5*8</f>
        <v>141.4</v>
      </c>
      <c r="G120" s="488"/>
      <c r="H120" s="488">
        <v>3.55</v>
      </c>
      <c r="I120" s="488">
        <v>1</v>
      </c>
      <c r="J120" s="488">
        <f>I120*H120*F120</f>
        <v>501.96999999999997</v>
      </c>
      <c r="K120" s="481"/>
      <c r="O120" s="467"/>
    </row>
    <row r="121" spans="1:15" s="466" customFormat="1">
      <c r="A121" s="485"/>
      <c r="B121" s="486"/>
      <c r="C121" s="487"/>
      <c r="D121" s="487"/>
      <c r="E121" s="487"/>
      <c r="F121" s="488">
        <f>1.1</f>
        <v>1.1000000000000001</v>
      </c>
      <c r="G121" s="488"/>
      <c r="H121" s="488">
        <f>H120-0.4</f>
        <v>3.15</v>
      </c>
      <c r="I121" s="488">
        <v>4</v>
      </c>
      <c r="J121" s="488">
        <f>I121*H121*F121</f>
        <v>13.860000000000001</v>
      </c>
      <c r="K121" s="481"/>
      <c r="O121" s="467"/>
    </row>
    <row r="122" spans="1:15" s="466" customFormat="1">
      <c r="A122" s="485"/>
      <c r="B122" s="486"/>
      <c r="C122" s="487"/>
      <c r="D122" s="487"/>
      <c r="E122" s="487" t="s">
        <v>923</v>
      </c>
      <c r="F122" s="488">
        <f>(27+1.25*2)*2+11.65*2</f>
        <v>82.3</v>
      </c>
      <c r="G122" s="488"/>
      <c r="H122" s="488">
        <f>3.56+0.6</f>
        <v>4.16</v>
      </c>
      <c r="I122" s="488">
        <v>1</v>
      </c>
      <c r="J122" s="488">
        <f>I122*H122*F122</f>
        <v>342.36799999999999</v>
      </c>
      <c r="K122" s="481"/>
      <c r="O122" s="467"/>
    </row>
    <row r="123" spans="1:15" s="466" customFormat="1">
      <c r="A123" s="485"/>
      <c r="B123" s="486"/>
      <c r="C123" s="487"/>
      <c r="D123" s="487"/>
      <c r="E123" s="487" t="s">
        <v>924</v>
      </c>
      <c r="F123" s="488"/>
      <c r="G123" s="488">
        <v>1.6</v>
      </c>
      <c r="H123" s="488">
        <v>2.8</v>
      </c>
      <c r="I123" s="488">
        <f>-2*2</f>
        <v>-4</v>
      </c>
      <c r="J123" s="488">
        <f>I123*H123*G123</f>
        <v>-17.919999999999998</v>
      </c>
      <c r="K123" s="481"/>
      <c r="O123" s="467"/>
    </row>
    <row r="124" spans="1:15" s="466" customFormat="1">
      <c r="A124" s="485"/>
      <c r="B124" s="486"/>
      <c r="C124" s="487"/>
      <c r="D124" s="487"/>
      <c r="E124" s="487" t="s">
        <v>925</v>
      </c>
      <c r="F124" s="488"/>
      <c r="G124" s="488">
        <f>G123</f>
        <v>1.6</v>
      </c>
      <c r="H124" s="488">
        <v>2</v>
      </c>
      <c r="I124" s="488">
        <v>-2</v>
      </c>
      <c r="J124" s="488">
        <f>I124*H124*G124</f>
        <v>-6.4</v>
      </c>
      <c r="K124" s="481"/>
      <c r="O124" s="467"/>
    </row>
    <row r="125" spans="1:15" s="466" customFormat="1">
      <c r="A125" s="485"/>
      <c r="B125" s="486"/>
      <c r="C125" s="487"/>
      <c r="D125" s="487"/>
      <c r="E125" s="487" t="s">
        <v>844</v>
      </c>
      <c r="F125" s="488"/>
      <c r="G125" s="488">
        <v>0.85</v>
      </c>
      <c r="H125" s="488">
        <v>2</v>
      </c>
      <c r="I125" s="488">
        <f>-4*2</f>
        <v>-8</v>
      </c>
      <c r="J125" s="488">
        <f t="shared" ref="J125:J131" si="9">I125*H125*G125</f>
        <v>-13.6</v>
      </c>
      <c r="K125" s="481"/>
      <c r="O125" s="467"/>
    </row>
    <row r="126" spans="1:15" s="466" customFormat="1">
      <c r="A126" s="485"/>
      <c r="B126" s="486"/>
      <c r="C126" s="487"/>
      <c r="D126" s="487"/>
      <c r="E126" s="487" t="s">
        <v>926</v>
      </c>
      <c r="F126" s="488"/>
      <c r="G126" s="488">
        <v>0.85</v>
      </c>
      <c r="H126" s="488">
        <v>2</v>
      </c>
      <c r="I126" s="488">
        <f>-2*2</f>
        <v>-4</v>
      </c>
      <c r="J126" s="488">
        <f t="shared" si="9"/>
        <v>-6.8</v>
      </c>
      <c r="K126" s="481"/>
      <c r="O126" s="467"/>
    </row>
    <row r="127" spans="1:15" s="466" customFormat="1">
      <c r="A127" s="485"/>
      <c r="B127" s="486"/>
      <c r="C127" s="487"/>
      <c r="D127" s="487"/>
      <c r="E127" s="487" t="s">
        <v>927</v>
      </c>
      <c r="F127" s="488"/>
      <c r="G127" s="488">
        <v>0.7</v>
      </c>
      <c r="H127" s="488">
        <f>H126</f>
        <v>2</v>
      </c>
      <c r="I127" s="488">
        <v>-4</v>
      </c>
      <c r="J127" s="488">
        <f t="shared" si="9"/>
        <v>-5.6</v>
      </c>
      <c r="K127" s="481"/>
      <c r="O127" s="467"/>
    </row>
    <row r="128" spans="1:15" s="466" customFormat="1">
      <c r="A128" s="485"/>
      <c r="B128" s="486"/>
      <c r="C128" s="487"/>
      <c r="D128" s="487"/>
      <c r="E128" s="487" t="s">
        <v>853</v>
      </c>
      <c r="F128" s="488"/>
      <c r="G128" s="488">
        <f>0.74*2+0.95+0.2</f>
        <v>2.63</v>
      </c>
      <c r="H128" s="488">
        <f>1.8</f>
        <v>1.8</v>
      </c>
      <c r="I128" s="488">
        <f>-12*2</f>
        <v>-24</v>
      </c>
      <c r="J128" s="488">
        <f t="shared" si="9"/>
        <v>-113.616</v>
      </c>
      <c r="K128" s="481"/>
      <c r="O128" s="467"/>
    </row>
    <row r="129" spans="1:15" s="466" customFormat="1">
      <c r="A129" s="485"/>
      <c r="B129" s="486"/>
      <c r="C129" s="487"/>
      <c r="D129" s="487"/>
      <c r="E129" s="487" t="s">
        <v>928</v>
      </c>
      <c r="F129" s="488"/>
      <c r="G129" s="488">
        <f>0.74*2+0.95+0.2</f>
        <v>2.63</v>
      </c>
      <c r="H129" s="488">
        <v>0.75</v>
      </c>
      <c r="I129" s="488">
        <v>-2</v>
      </c>
      <c r="J129" s="488">
        <f t="shared" si="9"/>
        <v>-3.9449999999999998</v>
      </c>
      <c r="K129" s="481"/>
      <c r="O129" s="467"/>
    </row>
    <row r="130" spans="1:15" s="466" customFormat="1">
      <c r="A130" s="485"/>
      <c r="B130" s="486"/>
      <c r="C130" s="487"/>
      <c r="D130" s="487"/>
      <c r="E130" s="487" t="s">
        <v>929</v>
      </c>
      <c r="F130" s="488"/>
      <c r="G130" s="488">
        <f>0.72*2+0.15</f>
        <v>1.5899999999999999</v>
      </c>
      <c r="H130" s="488">
        <f>H129</f>
        <v>0.75</v>
      </c>
      <c r="I130" s="488">
        <f>-2*2</f>
        <v>-4</v>
      </c>
      <c r="J130" s="488">
        <f t="shared" si="9"/>
        <v>-4.7699999999999996</v>
      </c>
      <c r="K130" s="481"/>
      <c r="O130" s="467"/>
    </row>
    <row r="131" spans="1:15" s="466" customFormat="1">
      <c r="A131" s="485"/>
      <c r="B131" s="486"/>
      <c r="C131" s="487"/>
      <c r="D131" s="487"/>
      <c r="E131" s="487" t="s">
        <v>600</v>
      </c>
      <c r="F131" s="488"/>
      <c r="G131" s="488">
        <f>0.4*2</f>
        <v>0.8</v>
      </c>
      <c r="H131" s="488">
        <f>H122</f>
        <v>4.16</v>
      </c>
      <c r="I131" s="488">
        <f>10*2</f>
        <v>20</v>
      </c>
      <c r="J131" s="488">
        <f t="shared" si="9"/>
        <v>66.56</v>
      </c>
      <c r="K131" s="481"/>
      <c r="M131" s="466">
        <f>27/3</f>
        <v>9</v>
      </c>
      <c r="O131" s="467"/>
    </row>
    <row r="132" spans="1:15" s="466" customFormat="1">
      <c r="A132" s="485"/>
      <c r="B132" s="486"/>
      <c r="C132" s="487"/>
      <c r="D132" s="487"/>
      <c r="E132" s="487" t="s">
        <v>952</v>
      </c>
      <c r="F132" s="488"/>
      <c r="G132" s="488"/>
      <c r="H132" s="488"/>
      <c r="I132" s="488"/>
      <c r="J132" s="488">
        <f>-J159</f>
        <v>-7.6479999999999997</v>
      </c>
      <c r="K132" s="481"/>
      <c r="O132" s="467"/>
    </row>
    <row r="133" spans="1:15" s="466" customFormat="1">
      <c r="A133" s="485"/>
      <c r="B133" s="486"/>
      <c r="C133" s="487"/>
      <c r="D133" s="487"/>
      <c r="E133" s="487"/>
      <c r="F133" s="488"/>
      <c r="G133" s="488"/>
      <c r="H133" s="488"/>
      <c r="I133" s="488"/>
      <c r="J133" s="488"/>
      <c r="K133" s="481"/>
      <c r="O133" s="467"/>
    </row>
    <row r="134" spans="1:15" s="466" customFormat="1">
      <c r="A134" s="468">
        <v>4</v>
      </c>
      <c r="B134" s="469"/>
      <c r="C134" s="463" t="s">
        <v>955</v>
      </c>
      <c r="D134" s="463"/>
      <c r="E134" s="463"/>
      <c r="F134" s="464"/>
      <c r="G134" s="464"/>
      <c r="H134" s="464"/>
      <c r="I134" s="464"/>
      <c r="J134" s="464">
        <f>SUM(J135:J143)</f>
        <v>564.57599999999991</v>
      </c>
      <c r="K134" s="465" t="str">
        <f>+K116</f>
        <v>m²</v>
      </c>
      <c r="O134" s="467"/>
    </row>
    <row r="135" spans="1:15" s="466" customFormat="1">
      <c r="A135" s="497"/>
      <c r="B135" s="498"/>
      <c r="C135" s="492"/>
      <c r="D135" s="492"/>
      <c r="E135" s="492" t="s">
        <v>930</v>
      </c>
      <c r="F135" s="488">
        <f>26.85</f>
        <v>26.85</v>
      </c>
      <c r="G135" s="488">
        <v>9.85</v>
      </c>
      <c r="H135" s="488"/>
      <c r="I135" s="488">
        <v>1</v>
      </c>
      <c r="J135" s="488">
        <f>I135*G135*F135</f>
        <v>264.47250000000003</v>
      </c>
      <c r="K135" s="481"/>
      <c r="O135" s="467"/>
    </row>
    <row r="136" spans="1:15" s="466" customFormat="1">
      <c r="A136" s="497"/>
      <c r="B136" s="498"/>
      <c r="C136" s="492"/>
      <c r="D136" s="492"/>
      <c r="E136" s="492"/>
      <c r="F136" s="488">
        <v>0.65</v>
      </c>
      <c r="G136" s="488">
        <v>6.85</v>
      </c>
      <c r="H136" s="488"/>
      <c r="I136" s="488">
        <v>2</v>
      </c>
      <c r="J136" s="488">
        <f t="shared" ref="J136:J142" si="10">I136*G136*F136</f>
        <v>8.9049999999999994</v>
      </c>
      <c r="K136" s="481"/>
      <c r="O136" s="467"/>
    </row>
    <row r="137" spans="1:15" s="466" customFormat="1">
      <c r="A137" s="497"/>
      <c r="B137" s="498"/>
      <c r="C137" s="492"/>
      <c r="D137" s="492"/>
      <c r="E137" s="492"/>
      <c r="F137" s="488">
        <v>0.45</v>
      </c>
      <c r="G137" s="488">
        <v>5.85</v>
      </c>
      <c r="H137" s="488"/>
      <c r="I137" s="488">
        <v>2</v>
      </c>
      <c r="J137" s="488">
        <f t="shared" si="10"/>
        <v>5.2649999999999997</v>
      </c>
      <c r="K137" s="481"/>
      <c r="O137" s="467"/>
    </row>
    <row r="138" spans="1:15" s="466" customFormat="1">
      <c r="A138" s="497"/>
      <c r="B138" s="498"/>
      <c r="C138" s="492"/>
      <c r="D138" s="492"/>
      <c r="E138" s="492" t="s">
        <v>931</v>
      </c>
      <c r="F138" s="488">
        <f>9.85+1.65*2</f>
        <v>13.149999999999999</v>
      </c>
      <c r="G138" s="488"/>
      <c r="H138" s="488">
        <f>0.73*2</f>
        <v>1.46</v>
      </c>
      <c r="I138" s="488">
        <v>10</v>
      </c>
      <c r="J138" s="488">
        <f>I138*H138*F138</f>
        <v>191.98999999999998</v>
      </c>
      <c r="K138" s="481"/>
      <c r="O138" s="467"/>
    </row>
    <row r="139" spans="1:15" s="466" customFormat="1">
      <c r="A139" s="497"/>
      <c r="B139" s="498"/>
      <c r="C139" s="492"/>
      <c r="D139" s="492"/>
      <c r="E139" s="492" t="s">
        <v>932</v>
      </c>
      <c r="F139" s="488">
        <f>27+1.1-0.45</f>
        <v>27.650000000000002</v>
      </c>
      <c r="G139" s="488"/>
      <c r="H139" s="488">
        <f>0.18*2</f>
        <v>0.36</v>
      </c>
      <c r="I139" s="488">
        <v>2</v>
      </c>
      <c r="J139" s="488">
        <f>I139*H139*F139</f>
        <v>19.908000000000001</v>
      </c>
      <c r="K139" s="481"/>
      <c r="O139" s="467"/>
    </row>
    <row r="140" spans="1:15" s="466" customFormat="1">
      <c r="A140" s="497"/>
      <c r="B140" s="498"/>
      <c r="C140" s="492"/>
      <c r="D140" s="492"/>
      <c r="E140" s="492" t="s">
        <v>933</v>
      </c>
      <c r="F140" s="488">
        <f>27</f>
        <v>27</v>
      </c>
      <c r="G140" s="488">
        <v>1.65</v>
      </c>
      <c r="H140" s="488"/>
      <c r="I140" s="488">
        <v>2</v>
      </c>
      <c r="J140" s="488">
        <f t="shared" si="10"/>
        <v>89.1</v>
      </c>
      <c r="K140" s="481"/>
      <c r="O140" s="467"/>
    </row>
    <row r="141" spans="1:15" s="466" customFormat="1">
      <c r="A141" s="497"/>
      <c r="B141" s="498"/>
      <c r="C141" s="492"/>
      <c r="D141" s="492"/>
      <c r="E141" s="492"/>
      <c r="F141" s="488">
        <f>27+1.5*2</f>
        <v>30</v>
      </c>
      <c r="G141" s="488"/>
      <c r="H141" s="488">
        <v>0.65</v>
      </c>
      <c r="I141" s="488">
        <v>2</v>
      </c>
      <c r="J141" s="488">
        <f>I141*H141*F141</f>
        <v>39</v>
      </c>
      <c r="K141" s="481"/>
      <c r="O141" s="467"/>
    </row>
    <row r="142" spans="1:15" s="466" customFormat="1">
      <c r="A142" s="497"/>
      <c r="B142" s="498"/>
      <c r="C142" s="492"/>
      <c r="D142" s="492"/>
      <c r="E142" s="492" t="s">
        <v>956</v>
      </c>
      <c r="F142" s="488">
        <v>6.8</v>
      </c>
      <c r="G142" s="488">
        <v>1.85</v>
      </c>
      <c r="H142" s="488"/>
      <c r="I142" s="488">
        <v>-1</v>
      </c>
      <c r="J142" s="488">
        <f t="shared" si="10"/>
        <v>-12.58</v>
      </c>
      <c r="K142" s="481"/>
      <c r="O142" s="467"/>
    </row>
    <row r="143" spans="1:15" s="466" customFormat="1">
      <c r="A143" s="497"/>
      <c r="B143" s="498"/>
      <c r="C143" s="492"/>
      <c r="D143" s="492"/>
      <c r="E143" s="492" t="s">
        <v>628</v>
      </c>
      <c r="F143" s="464"/>
      <c r="G143" s="464"/>
      <c r="H143" s="464"/>
      <c r="I143" s="464"/>
      <c r="J143" s="464">
        <f>-J86</f>
        <v>-41.484500000000004</v>
      </c>
      <c r="K143" s="465"/>
      <c r="O143" s="467"/>
    </row>
    <row r="144" spans="1:15" s="466" customFormat="1">
      <c r="A144" s="497"/>
      <c r="B144" s="498"/>
      <c r="C144" s="492"/>
      <c r="D144" s="492"/>
      <c r="E144" s="492"/>
      <c r="F144" s="488"/>
      <c r="G144" s="488"/>
      <c r="H144" s="488"/>
      <c r="I144" s="488"/>
      <c r="J144" s="488"/>
      <c r="K144" s="481"/>
      <c r="O144" s="467"/>
    </row>
    <row r="145" spans="1:15" s="466" customFormat="1">
      <c r="A145" s="460" t="s">
        <v>486</v>
      </c>
      <c r="B145" s="461"/>
      <c r="C145" s="462" t="s">
        <v>483</v>
      </c>
      <c r="D145" s="463"/>
      <c r="E145" s="463"/>
      <c r="F145" s="464"/>
      <c r="G145" s="464"/>
      <c r="H145" s="464"/>
      <c r="I145" s="464"/>
      <c r="J145" s="464"/>
      <c r="K145" s="465"/>
      <c r="O145" s="467"/>
    </row>
    <row r="146" spans="1:15" s="466" customFormat="1">
      <c r="A146" s="468">
        <v>1</v>
      </c>
      <c r="B146" s="469"/>
      <c r="C146" s="463" t="s">
        <v>484</v>
      </c>
      <c r="D146" s="463"/>
      <c r="E146" s="463"/>
      <c r="F146" s="464"/>
      <c r="G146" s="464"/>
      <c r="H146" s="464"/>
      <c r="I146" s="464"/>
      <c r="J146" s="464"/>
      <c r="K146" s="465" t="s">
        <v>8</v>
      </c>
      <c r="O146" s="467"/>
    </row>
    <row r="147" spans="1:15" s="466" customFormat="1">
      <c r="A147" s="468">
        <v>2</v>
      </c>
      <c r="B147" s="469"/>
      <c r="C147" s="463" t="s">
        <v>485</v>
      </c>
      <c r="D147" s="463"/>
      <c r="E147" s="463"/>
      <c r="F147" s="464"/>
      <c r="G147" s="464"/>
      <c r="H147" s="464"/>
      <c r="I147" s="464"/>
      <c r="J147" s="464"/>
      <c r="K147" s="465" t="str">
        <f>+K146</f>
        <v>ttk</v>
      </c>
      <c r="O147" s="467"/>
    </row>
    <row r="148" spans="1:15" s="466" customFormat="1">
      <c r="A148" s="468">
        <v>3</v>
      </c>
      <c r="B148" s="469"/>
      <c r="C148" s="463" t="s">
        <v>811</v>
      </c>
      <c r="D148" s="463"/>
      <c r="E148" s="463"/>
      <c r="F148" s="464"/>
      <c r="G148" s="464"/>
      <c r="H148" s="464"/>
      <c r="I148" s="464"/>
      <c r="J148" s="464"/>
      <c r="K148" s="465" t="str">
        <f>+K147</f>
        <v>ttk</v>
      </c>
      <c r="O148" s="467"/>
    </row>
    <row r="149" spans="1:15" s="466" customFormat="1">
      <c r="A149" s="468">
        <v>4</v>
      </c>
      <c r="B149" s="469"/>
      <c r="C149" s="463" t="s">
        <v>812</v>
      </c>
      <c r="D149" s="463"/>
      <c r="E149" s="463"/>
      <c r="F149" s="464"/>
      <c r="G149" s="464"/>
      <c r="H149" s="464"/>
      <c r="I149" s="464"/>
      <c r="J149" s="464"/>
      <c r="K149" s="465" t="str">
        <f>+K146</f>
        <v>ttk</v>
      </c>
      <c r="O149" s="467"/>
    </row>
    <row r="150" spans="1:15" s="466" customFormat="1">
      <c r="A150" s="468">
        <v>5</v>
      </c>
      <c r="B150" s="469"/>
      <c r="C150" s="463" t="s">
        <v>813</v>
      </c>
      <c r="D150" s="463"/>
      <c r="E150" s="463"/>
      <c r="F150" s="464"/>
      <c r="G150" s="464"/>
      <c r="H150" s="464"/>
      <c r="I150" s="464"/>
      <c r="J150" s="464"/>
      <c r="K150" s="465" t="str">
        <f>+K147</f>
        <v>ttk</v>
      </c>
      <c r="O150" s="467"/>
    </row>
    <row r="151" spans="1:15" s="466" customFormat="1">
      <c r="A151" s="468">
        <v>6</v>
      </c>
      <c r="B151" s="469"/>
      <c r="C151" s="463" t="s">
        <v>814</v>
      </c>
      <c r="D151" s="463"/>
      <c r="E151" s="463"/>
      <c r="F151" s="464"/>
      <c r="G151" s="464"/>
      <c r="H151" s="464"/>
      <c r="I151" s="464"/>
      <c r="J151" s="464"/>
      <c r="K151" s="465" t="str">
        <f>K147</f>
        <v>ttk</v>
      </c>
      <c r="O151" s="467"/>
    </row>
    <row r="152" spans="1:15" s="466" customFormat="1">
      <c r="A152" s="468">
        <v>7</v>
      </c>
      <c r="B152" s="469"/>
      <c r="C152" s="463" t="s">
        <v>815</v>
      </c>
      <c r="D152" s="463"/>
      <c r="E152" s="463"/>
      <c r="F152" s="464"/>
      <c r="G152" s="464"/>
      <c r="H152" s="464"/>
      <c r="I152" s="464"/>
      <c r="J152" s="464"/>
      <c r="K152" s="465" t="str">
        <f>K150</f>
        <v>ttk</v>
      </c>
      <c r="O152" s="467"/>
    </row>
    <row r="153" spans="1:15" s="466" customFormat="1">
      <c r="A153" s="468">
        <v>8</v>
      </c>
      <c r="B153" s="469"/>
      <c r="C153" s="463" t="s">
        <v>816</v>
      </c>
      <c r="D153" s="463"/>
      <c r="E153" s="463"/>
      <c r="F153" s="464"/>
      <c r="G153" s="464"/>
      <c r="H153" s="464"/>
      <c r="I153" s="464"/>
      <c r="J153" s="464"/>
      <c r="K153" s="465" t="str">
        <f>K151</f>
        <v>ttk</v>
      </c>
      <c r="O153" s="467"/>
    </row>
    <row r="154" spans="1:15" s="466" customFormat="1">
      <c r="A154" s="468">
        <v>9</v>
      </c>
      <c r="B154" s="469"/>
      <c r="C154" s="463" t="s">
        <v>817</v>
      </c>
      <c r="D154" s="463"/>
      <c r="E154" s="463"/>
      <c r="F154" s="464"/>
      <c r="G154" s="464"/>
      <c r="H154" s="464"/>
      <c r="I154" s="464"/>
      <c r="J154" s="464"/>
      <c r="K154" s="465" t="str">
        <f>K152</f>
        <v>ttk</v>
      </c>
      <c r="O154" s="467"/>
    </row>
    <row r="155" spans="1:15" s="466" customFormat="1">
      <c r="A155" s="468">
        <v>10</v>
      </c>
      <c r="B155" s="469"/>
      <c r="C155" s="463" t="s">
        <v>818</v>
      </c>
      <c r="D155" s="463"/>
      <c r="E155" s="463"/>
      <c r="F155" s="464"/>
      <c r="G155" s="464"/>
      <c r="H155" s="464"/>
      <c r="I155" s="464"/>
      <c r="J155" s="464"/>
      <c r="K155" s="465" t="s">
        <v>7</v>
      </c>
      <c r="O155" s="467"/>
    </row>
    <row r="156" spans="1:15" s="466" customFormat="1">
      <c r="A156" s="468">
        <v>11</v>
      </c>
      <c r="B156" s="469"/>
      <c r="C156" s="463" t="s">
        <v>819</v>
      </c>
      <c r="D156" s="463"/>
      <c r="E156" s="463"/>
      <c r="F156" s="464"/>
      <c r="G156" s="464"/>
      <c r="H156" s="464"/>
      <c r="I156" s="464"/>
      <c r="J156" s="464"/>
      <c r="K156" s="465" t="s">
        <v>7</v>
      </c>
      <c r="O156" s="467"/>
    </row>
    <row r="157" spans="1:15" s="466" customFormat="1">
      <c r="A157" s="468"/>
      <c r="B157" s="469"/>
      <c r="C157" s="463"/>
      <c r="D157" s="463"/>
      <c r="E157" s="463"/>
      <c r="F157" s="464"/>
      <c r="G157" s="464"/>
      <c r="H157" s="464"/>
      <c r="I157" s="464"/>
      <c r="J157" s="464"/>
      <c r="K157" s="465"/>
      <c r="O157" s="467"/>
    </row>
    <row r="158" spans="1:15" s="466" customFormat="1">
      <c r="A158" s="460" t="s">
        <v>820</v>
      </c>
      <c r="B158" s="461"/>
      <c r="C158" s="462" t="s">
        <v>487</v>
      </c>
      <c r="D158" s="463"/>
      <c r="E158" s="463"/>
      <c r="F158" s="464"/>
      <c r="G158" s="464"/>
      <c r="H158" s="464"/>
      <c r="I158" s="464"/>
      <c r="J158" s="464"/>
      <c r="K158" s="465"/>
      <c r="O158" s="467"/>
    </row>
    <row r="159" spans="1:15" s="466" customFormat="1">
      <c r="A159" s="468">
        <v>2</v>
      </c>
      <c r="B159" s="469"/>
      <c r="C159" s="463" t="s">
        <v>935</v>
      </c>
      <c r="D159" s="463"/>
      <c r="E159" s="463"/>
      <c r="F159" s="464"/>
      <c r="G159" s="464"/>
      <c r="H159" s="464"/>
      <c r="I159" s="464"/>
      <c r="J159" s="488">
        <f>SUM(J160:J161)</f>
        <v>7.6479999999999997</v>
      </c>
      <c r="K159" s="465" t="str">
        <f>K118</f>
        <v>m²</v>
      </c>
      <c r="O159" s="467"/>
    </row>
    <row r="160" spans="1:15" s="466" customFormat="1">
      <c r="A160" s="485"/>
      <c r="B160" s="486"/>
      <c r="C160" s="487"/>
      <c r="D160" s="487"/>
      <c r="E160" s="487"/>
      <c r="F160" s="488">
        <v>2.8</v>
      </c>
      <c r="G160" s="488"/>
      <c r="H160" s="488">
        <v>2.16</v>
      </c>
      <c r="I160" s="488">
        <v>1</v>
      </c>
      <c r="J160" s="488">
        <f>I160*H160*F160</f>
        <v>6.048</v>
      </c>
      <c r="K160" s="481"/>
      <c r="O160" s="467"/>
    </row>
    <row r="161" spans="1:17" s="466" customFormat="1">
      <c r="A161" s="485"/>
      <c r="B161" s="486"/>
      <c r="C161" s="487"/>
      <c r="D161" s="487"/>
      <c r="E161" s="487"/>
      <c r="F161" s="488">
        <v>2</v>
      </c>
      <c r="G161" s="488"/>
      <c r="H161" s="488">
        <v>0.8</v>
      </c>
      <c r="I161" s="488">
        <v>1</v>
      </c>
      <c r="J161" s="488">
        <f>I161*H161*F161</f>
        <v>1.6</v>
      </c>
      <c r="K161" s="481"/>
      <c r="O161" s="467"/>
    </row>
    <row r="162" spans="1:17" s="466" customFormat="1">
      <c r="A162" s="468"/>
      <c r="B162" s="469"/>
      <c r="C162" s="463"/>
      <c r="D162" s="463"/>
      <c r="E162" s="463"/>
      <c r="F162" s="464"/>
      <c r="G162" s="464"/>
      <c r="H162" s="464"/>
      <c r="I162" s="464"/>
      <c r="J162" s="464"/>
      <c r="K162" s="465"/>
      <c r="O162" s="467"/>
    </row>
    <row r="163" spans="1:17">
      <c r="A163" s="362" t="s">
        <v>264</v>
      </c>
      <c r="B163" s="363"/>
      <c r="C163" s="399" t="s">
        <v>821</v>
      </c>
      <c r="D163" s="342"/>
      <c r="E163" s="342"/>
      <c r="F163" s="347"/>
      <c r="G163" s="347"/>
      <c r="H163" s="347"/>
      <c r="I163" s="347"/>
      <c r="J163" s="347"/>
      <c r="K163" s="364"/>
      <c r="L163" s="111"/>
      <c r="N163" s="111"/>
      <c r="P163" s="111"/>
      <c r="Q163" s="111"/>
    </row>
    <row r="164" spans="1:17">
      <c r="A164" s="362" t="s">
        <v>444</v>
      </c>
      <c r="B164" s="363"/>
      <c r="C164" s="399" t="s">
        <v>790</v>
      </c>
      <c r="D164" s="386"/>
      <c r="E164" s="386"/>
      <c r="F164" s="347"/>
      <c r="G164" s="347"/>
      <c r="H164" s="347"/>
      <c r="I164" s="347"/>
      <c r="J164" s="347"/>
      <c r="K164" s="364"/>
      <c r="L164" s="111"/>
      <c r="N164" s="111"/>
      <c r="P164" s="111"/>
      <c r="Q164" s="111"/>
    </row>
    <row r="165" spans="1:17" s="413" customFormat="1">
      <c r="A165" s="427">
        <v>1</v>
      </c>
      <c r="B165" s="428"/>
      <c r="C165" s="430" t="s">
        <v>791</v>
      </c>
      <c r="D165" s="430"/>
      <c r="E165" s="430"/>
      <c r="F165" s="368">
        <f>10*4+27*2</f>
        <v>94</v>
      </c>
      <c r="G165" s="368"/>
      <c r="H165" s="368">
        <v>0.66</v>
      </c>
      <c r="I165" s="368">
        <v>1</v>
      </c>
      <c r="J165" s="368">
        <f>I165*H165*F165+0.6</f>
        <v>62.640000000000008</v>
      </c>
      <c r="K165" s="436" t="str">
        <f>K166</f>
        <v>m²</v>
      </c>
      <c r="O165" s="414"/>
    </row>
    <row r="166" spans="1:17" s="413" customFormat="1">
      <c r="A166" s="427">
        <v>2</v>
      </c>
      <c r="B166" s="428"/>
      <c r="C166" s="430" t="s">
        <v>850</v>
      </c>
      <c r="D166" s="430"/>
      <c r="E166" s="430"/>
      <c r="F166" s="368"/>
      <c r="G166" s="368"/>
      <c r="H166" s="368"/>
      <c r="I166" s="368"/>
      <c r="J166" s="368">
        <f>J165*2+0.02</f>
        <v>125.30000000000001</v>
      </c>
      <c r="K166" s="436" t="s">
        <v>450</v>
      </c>
      <c r="O166" s="414"/>
    </row>
    <row r="167" spans="1:17" s="413" customFormat="1">
      <c r="A167" s="427"/>
      <c r="B167" s="428"/>
      <c r="C167" s="430"/>
      <c r="D167" s="430"/>
      <c r="E167" s="430"/>
      <c r="F167" s="368"/>
      <c r="G167" s="368"/>
      <c r="H167" s="368"/>
      <c r="I167" s="368"/>
      <c r="J167" s="368"/>
      <c r="K167" s="436"/>
      <c r="O167" s="414"/>
    </row>
    <row r="168" spans="1:17" s="413" customFormat="1">
      <c r="A168" s="502">
        <v>1</v>
      </c>
      <c r="B168" s="505"/>
      <c r="C168" s="504" t="s">
        <v>691</v>
      </c>
      <c r="D168" s="506"/>
      <c r="E168" s="431"/>
      <c r="F168" s="444">
        <v>0.2</v>
      </c>
      <c r="G168" s="444">
        <f>F168</f>
        <v>0.2</v>
      </c>
      <c r="H168" s="444">
        <v>0.6</v>
      </c>
      <c r="I168" s="444">
        <v>24</v>
      </c>
      <c r="J168" s="444">
        <f>I168*H168*G168*F168</f>
        <v>0.57599999999999996</v>
      </c>
      <c r="K168" s="445"/>
      <c r="O168" s="414"/>
    </row>
    <row r="169" spans="1:17" s="413" customFormat="1">
      <c r="A169" s="502"/>
      <c r="B169" s="505"/>
      <c r="C169" s="504"/>
      <c r="D169" s="506" t="s">
        <v>989</v>
      </c>
      <c r="E169" s="431"/>
      <c r="F169" s="444"/>
      <c r="G169" s="444"/>
      <c r="H169" s="444"/>
      <c r="I169" s="444"/>
      <c r="J169" s="444">
        <f>SUM(J170:J171)</f>
        <v>94.738285714285723</v>
      </c>
      <c r="K169" s="445"/>
      <c r="O169" s="414"/>
    </row>
    <row r="170" spans="1:17" s="413" customFormat="1">
      <c r="A170" s="502"/>
      <c r="B170" s="505"/>
      <c r="C170" s="504"/>
      <c r="D170" s="506"/>
      <c r="E170" s="431"/>
      <c r="G170" s="435">
        <f>1.2^2*22*0.785/(7*4)</f>
        <v>0.88817142857142861</v>
      </c>
      <c r="H170" s="444">
        <v>0.8</v>
      </c>
      <c r="I170" s="444">
        <f>I168*4</f>
        <v>96</v>
      </c>
      <c r="J170" s="444">
        <f>I170*H170*G170</f>
        <v>68.211565714285726</v>
      </c>
      <c r="K170" s="445"/>
      <c r="O170" s="414"/>
    </row>
    <row r="171" spans="1:17" s="413" customFormat="1">
      <c r="A171" s="502"/>
      <c r="B171" s="505"/>
      <c r="C171" s="504"/>
      <c r="D171" s="506"/>
      <c r="E171" s="431"/>
      <c r="F171" s="444">
        <f>0.15*4+0.1</f>
        <v>0.7</v>
      </c>
      <c r="G171" s="435">
        <f>0.8^2*22*0.785/(7*4)</f>
        <v>0.39474285714285717</v>
      </c>
      <c r="H171" s="444"/>
      <c r="I171" s="444">
        <f>H168*I168/0.15</f>
        <v>96</v>
      </c>
      <c r="J171" s="444">
        <f>I171*G171*F171</f>
        <v>26.526720000000005</v>
      </c>
      <c r="K171" s="445"/>
      <c r="O171" s="414"/>
    </row>
    <row r="172" spans="1:17" s="413" customFormat="1">
      <c r="A172" s="502"/>
      <c r="B172" s="505"/>
      <c r="C172" s="504"/>
      <c r="D172" s="506" t="s">
        <v>644</v>
      </c>
      <c r="E172" s="431"/>
      <c r="F172" s="444"/>
      <c r="G172" s="444">
        <f>0.15*4</f>
        <v>0.6</v>
      </c>
      <c r="H172" s="444">
        <f>H168</f>
        <v>0.6</v>
      </c>
      <c r="I172" s="444">
        <f>I168</f>
        <v>24</v>
      </c>
      <c r="J172" s="444">
        <f>I172*H172*G172</f>
        <v>8.6399999999999988</v>
      </c>
      <c r="K172" s="445"/>
      <c r="O172" s="414"/>
    </row>
    <row r="173" spans="1:17" s="413" customFormat="1">
      <c r="A173" s="502">
        <v>2</v>
      </c>
      <c r="B173" s="505"/>
      <c r="C173" s="504" t="s">
        <v>643</v>
      </c>
      <c r="D173" s="506"/>
      <c r="E173" s="431"/>
      <c r="F173" s="444">
        <f>27*2+10*4</f>
        <v>94</v>
      </c>
      <c r="G173" s="444">
        <v>0.15</v>
      </c>
      <c r="H173" s="444">
        <v>0.2</v>
      </c>
      <c r="I173" s="444">
        <v>1</v>
      </c>
      <c r="J173" s="444">
        <f>I173*H173*G173*F173</f>
        <v>2.82</v>
      </c>
      <c r="K173" s="445"/>
      <c r="O173" s="414"/>
    </row>
    <row r="174" spans="1:17" s="413" customFormat="1">
      <c r="A174" s="502"/>
      <c r="B174" s="505"/>
      <c r="C174" s="504"/>
      <c r="D174" s="506" t="s">
        <v>976</v>
      </c>
      <c r="E174" s="431"/>
      <c r="F174" s="444"/>
      <c r="G174" s="444"/>
      <c r="H174" s="444"/>
      <c r="I174" s="444"/>
      <c r="J174" s="444">
        <f>SUM(J175:J176)</f>
        <v>482.37577142857145</v>
      </c>
      <c r="K174" s="445"/>
      <c r="O174" s="414"/>
    </row>
    <row r="175" spans="1:17" s="413" customFormat="1">
      <c r="A175" s="502"/>
      <c r="B175" s="505"/>
      <c r="C175" s="504"/>
      <c r="D175" s="506"/>
      <c r="E175" s="431"/>
      <c r="F175" s="444">
        <f>27*2+10*4</f>
        <v>94</v>
      </c>
      <c r="G175" s="435">
        <f>1.2^2*22*0.785/(7*4)</f>
        <v>0.88817142857142861</v>
      </c>
      <c r="H175" s="444"/>
      <c r="I175" s="444">
        <v>4</v>
      </c>
      <c r="J175" s="444">
        <f>I175*G175*F175</f>
        <v>333.95245714285716</v>
      </c>
      <c r="K175" s="445"/>
      <c r="O175" s="414"/>
    </row>
    <row r="176" spans="1:17" s="413" customFormat="1">
      <c r="A176" s="502"/>
      <c r="B176" s="505"/>
      <c r="C176" s="504"/>
      <c r="D176" s="506"/>
      <c r="E176" s="431"/>
      <c r="F176" s="444">
        <f>0.1*2+0.15*2+0.1</f>
        <v>0.6</v>
      </c>
      <c r="G176" s="435">
        <f>0.8^2*22*0.785/(7*4)</f>
        <v>0.39474285714285717</v>
      </c>
      <c r="H176" s="444"/>
      <c r="I176" s="444">
        <f>F175/0.15</f>
        <v>626.66666666666674</v>
      </c>
      <c r="J176" s="444">
        <f>I176*G176*F176</f>
        <v>148.4233142857143</v>
      </c>
      <c r="K176" s="445"/>
      <c r="O176" s="414"/>
    </row>
    <row r="177" spans="1:16" s="413" customFormat="1">
      <c r="A177" s="502"/>
      <c r="B177" s="505"/>
      <c r="C177" s="504"/>
      <c r="D177" s="506" t="s">
        <v>644</v>
      </c>
      <c r="E177" s="431"/>
      <c r="F177" s="444">
        <f>F173</f>
        <v>94</v>
      </c>
      <c r="G177" s="444"/>
      <c r="H177" s="444">
        <v>0.2</v>
      </c>
      <c r="I177" s="444">
        <v>2</v>
      </c>
      <c r="J177" s="444">
        <f>I177*H177*F177</f>
        <v>37.6</v>
      </c>
      <c r="K177" s="445"/>
      <c r="O177" s="414"/>
    </row>
    <row r="178" spans="1:16" s="413" customFormat="1">
      <c r="A178" s="443"/>
      <c r="B178" s="429"/>
      <c r="C178" s="431"/>
      <c r="D178" s="431"/>
      <c r="E178" s="431"/>
      <c r="F178" s="444"/>
      <c r="G178" s="444"/>
      <c r="H178" s="444"/>
      <c r="I178" s="444"/>
      <c r="J178" s="444"/>
      <c r="K178" s="445"/>
      <c r="O178" s="414"/>
    </row>
    <row r="179" spans="1:16" s="413" customFormat="1">
      <c r="A179" s="443"/>
      <c r="B179" s="429"/>
      <c r="C179" s="431"/>
      <c r="D179" s="431"/>
      <c r="E179" s="431"/>
      <c r="F179" s="444"/>
      <c r="G179" s="444"/>
      <c r="H179" s="444"/>
      <c r="I179" s="444"/>
      <c r="J179" s="444"/>
      <c r="K179" s="445"/>
      <c r="O179" s="414"/>
    </row>
    <row r="180" spans="1:16" s="413" customFormat="1">
      <c r="A180" s="424" t="s">
        <v>681</v>
      </c>
      <c r="B180" s="425"/>
      <c r="C180" s="437" t="s">
        <v>469</v>
      </c>
      <c r="D180" s="430"/>
      <c r="E180" s="430"/>
      <c r="F180" s="368"/>
      <c r="G180" s="368"/>
      <c r="H180" s="368"/>
      <c r="I180" s="368"/>
      <c r="J180" s="368"/>
      <c r="K180" s="436"/>
      <c r="O180" s="414"/>
    </row>
    <row r="181" spans="1:16" s="413" customFormat="1">
      <c r="A181" s="427">
        <v>1</v>
      </c>
      <c r="B181" s="428"/>
      <c r="C181" s="430" t="s">
        <v>822</v>
      </c>
      <c r="D181" s="430"/>
      <c r="E181" s="430"/>
      <c r="F181" s="368"/>
      <c r="G181" s="368"/>
      <c r="H181" s="368"/>
      <c r="I181" s="368"/>
      <c r="J181" s="368">
        <f>SUM(J182:J189)</f>
        <v>19.759999999999998</v>
      </c>
      <c r="K181" s="436" t="s">
        <v>937</v>
      </c>
      <c r="M181" s="438"/>
      <c r="N181" s="439"/>
      <c r="O181" s="440">
        <f>SUM(O182:O218)</f>
        <v>197.2817</v>
      </c>
      <c r="P181" s="440">
        <f>SUM(P182:P218)</f>
        <v>42.580799999999996</v>
      </c>
    </row>
    <row r="182" spans="1:16" s="413" customFormat="1">
      <c r="A182" s="427"/>
      <c r="B182" s="428"/>
      <c r="C182" s="430"/>
      <c r="D182" s="430">
        <v>4</v>
      </c>
      <c r="E182" s="430" t="s">
        <v>851</v>
      </c>
      <c r="F182" s="368">
        <f>(0.8+0.95+0.71+0.2)*3+1.75+(2.8*2+1.9*2)</f>
        <v>19.13</v>
      </c>
      <c r="G182" s="368"/>
      <c r="H182" s="368"/>
      <c r="I182" s="368">
        <v>0</v>
      </c>
      <c r="J182" s="368">
        <f t="shared" ref="J182:J189" si="11">I182*F182</f>
        <v>0</v>
      </c>
      <c r="K182" s="436"/>
      <c r="M182" s="438"/>
      <c r="N182" s="441">
        <f>0.05*2+0.14*1.5</f>
        <v>0.31000000000000005</v>
      </c>
      <c r="O182" s="442">
        <f>N182*F182*D182</f>
        <v>23.721200000000003</v>
      </c>
    </row>
    <row r="183" spans="1:16" s="413" customFormat="1">
      <c r="A183" s="427"/>
      <c r="B183" s="428"/>
      <c r="C183" s="430"/>
      <c r="D183" s="430">
        <v>1</v>
      </c>
      <c r="E183" s="430" t="s">
        <v>852</v>
      </c>
      <c r="F183" s="368">
        <f>(0.8+0.95+0.71+0.2)*1+1.75+(2*2+1.1*2)</f>
        <v>10.61</v>
      </c>
      <c r="G183" s="368"/>
      <c r="H183" s="368"/>
      <c r="I183" s="368">
        <v>0</v>
      </c>
      <c r="J183" s="368">
        <f t="shared" si="11"/>
        <v>0</v>
      </c>
      <c r="K183" s="436"/>
      <c r="M183" s="438"/>
      <c r="N183" s="441">
        <f t="shared" ref="N183:N187" si="12">0.05*2+0.14*1.5</f>
        <v>0.31000000000000005</v>
      </c>
      <c r="O183" s="442">
        <f t="shared" ref="O183:O189" si="13">N183*F183*D183</f>
        <v>3.2891000000000004</v>
      </c>
    </row>
    <row r="184" spans="1:16" s="413" customFormat="1">
      <c r="A184" s="427"/>
      <c r="B184" s="428"/>
      <c r="C184" s="430"/>
      <c r="D184" s="430">
        <v>4</v>
      </c>
      <c r="E184" s="430" t="s">
        <v>844</v>
      </c>
      <c r="F184" s="368">
        <f>0.94+2*2</f>
        <v>4.9399999999999995</v>
      </c>
      <c r="G184" s="368"/>
      <c r="H184" s="368"/>
      <c r="I184" s="368">
        <v>4</v>
      </c>
      <c r="J184" s="368">
        <f t="shared" si="11"/>
        <v>19.759999999999998</v>
      </c>
      <c r="K184" s="436"/>
      <c r="M184" s="438"/>
      <c r="N184" s="441">
        <f>0.05*2+0.14</f>
        <v>0.24000000000000002</v>
      </c>
      <c r="O184" s="442">
        <f t="shared" si="13"/>
        <v>4.7423999999999999</v>
      </c>
      <c r="P184" s="501">
        <f>O184</f>
        <v>4.7423999999999999</v>
      </c>
    </row>
    <row r="185" spans="1:16" s="413" customFormat="1">
      <c r="A185" s="427"/>
      <c r="B185" s="428"/>
      <c r="C185" s="430"/>
      <c r="D185" s="430">
        <f>3*4-D186</f>
        <v>10</v>
      </c>
      <c r="E185" s="430" t="s">
        <v>853</v>
      </c>
      <c r="F185" s="368">
        <f>(0.74*2+0.95+0.2)*2+(1+0.1)*4</f>
        <v>9.66</v>
      </c>
      <c r="G185" s="368"/>
      <c r="H185" s="368"/>
      <c r="I185" s="368">
        <v>0</v>
      </c>
      <c r="J185" s="368">
        <f t="shared" si="11"/>
        <v>0</v>
      </c>
      <c r="K185" s="436"/>
      <c r="M185" s="438"/>
      <c r="N185" s="441">
        <f t="shared" si="12"/>
        <v>0.31000000000000005</v>
      </c>
      <c r="O185" s="442">
        <f t="shared" si="13"/>
        <v>29.946000000000005</v>
      </c>
    </row>
    <row r="186" spans="1:16" s="413" customFormat="1">
      <c r="A186" s="427"/>
      <c r="B186" s="428"/>
      <c r="C186" s="430"/>
      <c r="D186" s="430">
        <v>2</v>
      </c>
      <c r="E186" s="430" t="s">
        <v>854</v>
      </c>
      <c r="F186" s="368">
        <f>(0.74*2+0.95+0.2)*2+(1+0.1)*4+1.05</f>
        <v>10.71</v>
      </c>
      <c r="G186" s="368"/>
      <c r="H186" s="368"/>
      <c r="I186" s="368">
        <v>0</v>
      </c>
      <c r="J186" s="368">
        <f t="shared" si="11"/>
        <v>0</v>
      </c>
      <c r="K186" s="436"/>
      <c r="M186" s="438"/>
      <c r="N186" s="441">
        <f t="shared" si="12"/>
        <v>0.31000000000000005</v>
      </c>
      <c r="O186" s="442">
        <f t="shared" si="13"/>
        <v>6.6402000000000019</v>
      </c>
    </row>
    <row r="187" spans="1:16" s="413" customFormat="1">
      <c r="A187" s="427"/>
      <c r="B187" s="428"/>
      <c r="C187" s="430"/>
      <c r="D187" s="430">
        <v>8</v>
      </c>
      <c r="E187" s="430" t="s">
        <v>855</v>
      </c>
      <c r="F187" s="368">
        <f>(0.72+0.1)*4+(1.71+0.2)*4</f>
        <v>10.92</v>
      </c>
      <c r="G187" s="368"/>
      <c r="H187" s="368"/>
      <c r="I187" s="368">
        <v>0</v>
      </c>
      <c r="J187" s="368">
        <f t="shared" si="11"/>
        <v>0</v>
      </c>
      <c r="K187" s="436"/>
      <c r="M187" s="438"/>
      <c r="N187" s="441">
        <f t="shared" si="12"/>
        <v>0.31000000000000005</v>
      </c>
      <c r="O187" s="442">
        <f t="shared" si="13"/>
        <v>27.081600000000005</v>
      </c>
    </row>
    <row r="188" spans="1:16" s="413" customFormat="1">
      <c r="A188" s="427"/>
      <c r="B188" s="428"/>
      <c r="C188" s="430"/>
      <c r="D188" s="430">
        <v>4</v>
      </c>
      <c r="E188" s="430" t="s">
        <v>856</v>
      </c>
      <c r="F188" s="368">
        <f>(0.3+0.1)*4+(0.9+0.71+0.2)*2</f>
        <v>5.22</v>
      </c>
      <c r="G188" s="368"/>
      <c r="H188" s="368"/>
      <c r="I188" s="368">
        <v>0</v>
      </c>
      <c r="J188" s="368">
        <f t="shared" si="11"/>
        <v>0</v>
      </c>
      <c r="K188" s="436"/>
      <c r="M188" s="438"/>
      <c r="N188" s="441">
        <f>0.05*2+0.14</f>
        <v>0.24000000000000002</v>
      </c>
      <c r="O188" s="442">
        <f t="shared" si="13"/>
        <v>5.0112000000000005</v>
      </c>
    </row>
    <row r="189" spans="1:16" s="413" customFormat="1">
      <c r="A189" s="427"/>
      <c r="B189" s="428"/>
      <c r="C189" s="430"/>
      <c r="D189" s="430">
        <v>2</v>
      </c>
      <c r="E189" s="430" t="s">
        <v>857</v>
      </c>
      <c r="F189" s="368">
        <f>(0.2+0.1)*4+(0.9+0.71+0.2)*2</f>
        <v>4.82</v>
      </c>
      <c r="G189" s="368"/>
      <c r="H189" s="368"/>
      <c r="I189" s="368">
        <v>0</v>
      </c>
      <c r="J189" s="368">
        <f t="shared" si="11"/>
        <v>0</v>
      </c>
      <c r="K189" s="436"/>
      <c r="M189" s="438"/>
      <c r="N189" s="441">
        <f>0.05*2+0.14</f>
        <v>0.24000000000000002</v>
      </c>
      <c r="O189" s="442">
        <f t="shared" si="13"/>
        <v>2.3136000000000001</v>
      </c>
    </row>
    <row r="190" spans="1:16" s="413" customFormat="1">
      <c r="A190" s="427">
        <v>2</v>
      </c>
      <c r="B190" s="428"/>
      <c r="C190" s="430" t="s">
        <v>794</v>
      </c>
      <c r="D190" s="430"/>
      <c r="E190" s="430"/>
      <c r="F190" s="368"/>
      <c r="G190" s="368"/>
      <c r="H190" s="368"/>
      <c r="I190" s="368"/>
      <c r="J190" s="368">
        <f>SUM(J191:J198)</f>
        <v>7.9981999999999998</v>
      </c>
      <c r="K190" s="436" t="s">
        <v>938</v>
      </c>
      <c r="M190" s="438"/>
      <c r="N190" s="441"/>
      <c r="O190" s="442"/>
    </row>
    <row r="191" spans="1:16" s="413" customFormat="1">
      <c r="A191" s="427"/>
      <c r="B191" s="428"/>
      <c r="C191" s="430"/>
      <c r="D191" s="430">
        <f>D182</f>
        <v>4</v>
      </c>
      <c r="E191" s="430" t="str">
        <f>E182</f>
        <v>Pj2</v>
      </c>
      <c r="F191" s="368"/>
      <c r="G191" s="368">
        <f>0.71</f>
        <v>0.71</v>
      </c>
      <c r="H191" s="368">
        <v>1</v>
      </c>
      <c r="I191" s="368">
        <v>0</v>
      </c>
      <c r="J191" s="368">
        <f t="shared" ref="J191:J198" si="14">I191*H191*G191</f>
        <v>0</v>
      </c>
      <c r="K191" s="436"/>
      <c r="M191" s="438">
        <f>(0.74+0.95)*2</f>
        <v>3.38</v>
      </c>
      <c r="N191" s="438">
        <f>0.08*2+0.03*2</f>
        <v>0.22</v>
      </c>
      <c r="O191" s="442">
        <f>N191*M191*D191</f>
        <v>2.9743999999999997</v>
      </c>
    </row>
    <row r="192" spans="1:16" s="413" customFormat="1">
      <c r="A192" s="443"/>
      <c r="B192" s="429"/>
      <c r="C192" s="431"/>
      <c r="D192" s="431"/>
      <c r="E192" s="431"/>
      <c r="F192" s="444"/>
      <c r="G192" s="368">
        <f>0.95</f>
        <v>0.95</v>
      </c>
      <c r="H192" s="368">
        <v>1</v>
      </c>
      <c r="I192" s="368">
        <v>0</v>
      </c>
      <c r="J192" s="368">
        <f t="shared" ref="J192" si="15">I192*H192*G192</f>
        <v>0</v>
      </c>
      <c r="K192" s="445"/>
      <c r="M192" s="438"/>
      <c r="N192" s="438"/>
      <c r="O192" s="446"/>
    </row>
    <row r="193" spans="1:16" s="413" customFormat="1">
      <c r="A193" s="427"/>
      <c r="B193" s="428"/>
      <c r="C193" s="430"/>
      <c r="D193" s="430">
        <f>D183</f>
        <v>1</v>
      </c>
      <c r="E193" s="430" t="str">
        <f>E183</f>
        <v>Pj3</v>
      </c>
      <c r="F193" s="368"/>
      <c r="G193" s="368">
        <f>0.71</f>
        <v>0.71</v>
      </c>
      <c r="H193" s="368">
        <v>1</v>
      </c>
      <c r="I193" s="368">
        <v>0</v>
      </c>
      <c r="J193" s="368">
        <f t="shared" si="14"/>
        <v>0</v>
      </c>
      <c r="K193" s="436"/>
      <c r="M193" s="438">
        <f>(0.74+0.95)*2</f>
        <v>3.38</v>
      </c>
      <c r="N193" s="438">
        <f>0.08*2+0.03*2</f>
        <v>0.22</v>
      </c>
      <c r="O193" s="442">
        <f>N193*M193*D193</f>
        <v>0.74359999999999993</v>
      </c>
    </row>
    <row r="194" spans="1:16" s="413" customFormat="1">
      <c r="A194" s="443"/>
      <c r="B194" s="429"/>
      <c r="C194" s="431"/>
      <c r="D194" s="431"/>
      <c r="E194" s="431"/>
      <c r="F194" s="444"/>
      <c r="G194" s="368">
        <f>0.95</f>
        <v>0.95</v>
      </c>
      <c r="H194" s="368">
        <v>1</v>
      </c>
      <c r="I194" s="368">
        <v>0</v>
      </c>
      <c r="J194" s="368">
        <f t="shared" ref="J194" si="16">I194*H194*G194</f>
        <v>0</v>
      </c>
      <c r="K194" s="445"/>
      <c r="M194" s="438"/>
      <c r="N194" s="438"/>
      <c r="O194" s="446"/>
    </row>
    <row r="195" spans="1:16" s="413" customFormat="1">
      <c r="A195" s="427"/>
      <c r="B195" s="428"/>
      <c r="C195" s="430"/>
      <c r="D195" s="430">
        <f>D185</f>
        <v>10</v>
      </c>
      <c r="E195" s="430" t="str">
        <f>E185</f>
        <v>JV1</v>
      </c>
      <c r="F195" s="368"/>
      <c r="G195" s="368">
        <f>0.72*1</f>
        <v>0.72</v>
      </c>
      <c r="H195" s="368">
        <v>1.02</v>
      </c>
      <c r="I195" s="368">
        <v>5</v>
      </c>
      <c r="J195" s="368">
        <f t="shared" si="14"/>
        <v>3.6719999999999997</v>
      </c>
      <c r="K195" s="436"/>
      <c r="M195" s="441">
        <f>(0.74*2+0.95)*2+1*6</f>
        <v>10.86</v>
      </c>
      <c r="N195" s="438">
        <f>0.08*2+0.03*2</f>
        <v>0.22</v>
      </c>
      <c r="O195" s="442">
        <f>N195*M195*D195</f>
        <v>23.891999999999996</v>
      </c>
      <c r="P195" s="501">
        <f>3.5*N195*I195</f>
        <v>3.85</v>
      </c>
    </row>
    <row r="196" spans="1:16" s="413" customFormat="1">
      <c r="A196" s="443"/>
      <c r="B196" s="429"/>
      <c r="C196" s="431"/>
      <c r="D196" s="431"/>
      <c r="E196" s="431"/>
      <c r="F196" s="444"/>
      <c r="G196" s="368">
        <v>0.97</v>
      </c>
      <c r="H196" s="368">
        <f>H195</f>
        <v>1.02</v>
      </c>
      <c r="I196" s="368">
        <v>3</v>
      </c>
      <c r="J196" s="368">
        <f t="shared" ref="J196" si="17">I196*H196*G196</f>
        <v>2.9681999999999999</v>
      </c>
      <c r="K196" s="445"/>
      <c r="M196" s="438"/>
      <c r="N196" s="438"/>
      <c r="O196" s="446"/>
      <c r="P196" s="501">
        <f>3.5*0.22*I196</f>
        <v>2.31</v>
      </c>
    </row>
    <row r="197" spans="1:16" s="413" customFormat="1">
      <c r="A197" s="427"/>
      <c r="B197" s="428"/>
      <c r="C197" s="430"/>
      <c r="D197" s="430">
        <f>D186</f>
        <v>2</v>
      </c>
      <c r="E197" s="430" t="str">
        <f>E186</f>
        <v>JV2</v>
      </c>
      <c r="F197" s="368"/>
      <c r="G197" s="368">
        <f>0.72*2</f>
        <v>1.44</v>
      </c>
      <c r="H197" s="368">
        <v>1.02</v>
      </c>
      <c r="I197" s="368">
        <v>0</v>
      </c>
      <c r="J197" s="368">
        <f t="shared" si="14"/>
        <v>0</v>
      </c>
      <c r="K197" s="436"/>
      <c r="M197" s="441">
        <f>(0.74*2)*2+1*4</f>
        <v>6.96</v>
      </c>
      <c r="N197" s="438">
        <f>0.08*2+0.03*2</f>
        <v>0.22</v>
      </c>
      <c r="O197" s="442">
        <f>N197*M197*D197</f>
        <v>3.0623999999999998</v>
      </c>
    </row>
    <row r="198" spans="1:16" s="413" customFormat="1">
      <c r="A198" s="427"/>
      <c r="B198" s="428"/>
      <c r="C198" s="430"/>
      <c r="D198" s="430"/>
      <c r="E198" s="430"/>
      <c r="F198" s="368"/>
      <c r="G198" s="368">
        <v>0.97</v>
      </c>
      <c r="H198" s="368">
        <v>0.7</v>
      </c>
      <c r="I198" s="368">
        <v>2</v>
      </c>
      <c r="J198" s="368">
        <f t="shared" si="14"/>
        <v>1.3579999999999999</v>
      </c>
      <c r="K198" s="436"/>
      <c r="M198" s="441">
        <f>0.97*2+0.7*2</f>
        <v>3.34</v>
      </c>
      <c r="N198" s="441">
        <f>N197</f>
        <v>0.22</v>
      </c>
      <c r="O198" s="442">
        <f>N198*M198*D197</f>
        <v>1.4696</v>
      </c>
      <c r="P198" s="501">
        <f>3.5*0.22*I198</f>
        <v>1.54</v>
      </c>
    </row>
    <row r="199" spans="1:16" s="413" customFormat="1">
      <c r="A199" s="427">
        <v>4</v>
      </c>
      <c r="B199" s="428"/>
      <c r="C199" s="430" t="s">
        <v>795</v>
      </c>
      <c r="D199" s="430"/>
      <c r="E199" s="430"/>
      <c r="F199" s="368"/>
      <c r="G199" s="368"/>
      <c r="H199" s="368"/>
      <c r="I199" s="368"/>
      <c r="J199" s="368">
        <f>SUM(J200:J202)</f>
        <v>14.4992</v>
      </c>
      <c r="K199" s="436" t="s">
        <v>12</v>
      </c>
      <c r="M199" s="441"/>
      <c r="N199" s="441"/>
      <c r="O199" s="442">
        <f>J199*2</f>
        <v>28.9984</v>
      </c>
      <c r="P199" s="501">
        <f>O199</f>
        <v>28.9984</v>
      </c>
    </row>
    <row r="200" spans="1:16" s="413" customFormat="1">
      <c r="A200" s="427"/>
      <c r="B200" s="428"/>
      <c r="C200" s="430"/>
      <c r="D200" s="430">
        <f>D182</f>
        <v>4</v>
      </c>
      <c r="E200" s="430" t="s">
        <v>851</v>
      </c>
      <c r="F200" s="368"/>
      <c r="G200" s="368">
        <v>0.8</v>
      </c>
      <c r="H200" s="368">
        <v>1.97</v>
      </c>
      <c r="I200" s="368">
        <v>1</v>
      </c>
      <c r="J200" s="368">
        <f>I200*H200*G200</f>
        <v>1.5760000000000001</v>
      </c>
      <c r="K200" s="436"/>
      <c r="M200" s="441"/>
      <c r="N200" s="441"/>
      <c r="O200" s="442"/>
    </row>
    <row r="201" spans="1:16" s="413" customFormat="1">
      <c r="A201" s="427"/>
      <c r="B201" s="428"/>
      <c r="C201" s="430"/>
      <c r="D201" s="430">
        <f>D183</f>
        <v>1</v>
      </c>
      <c r="E201" s="430" t="s">
        <v>852</v>
      </c>
      <c r="F201" s="368"/>
      <c r="G201" s="368">
        <f>G200</f>
        <v>0.8</v>
      </c>
      <c r="H201" s="368">
        <f>H200</f>
        <v>1.97</v>
      </c>
      <c r="I201" s="368">
        <f>I184</f>
        <v>4</v>
      </c>
      <c r="J201" s="368">
        <f>I201*H201*G201</f>
        <v>6.3040000000000003</v>
      </c>
      <c r="K201" s="436"/>
      <c r="M201" s="441"/>
      <c r="N201" s="441"/>
      <c r="O201" s="442"/>
    </row>
    <row r="202" spans="1:16" s="413" customFormat="1">
      <c r="A202" s="427"/>
      <c r="B202" s="428"/>
      <c r="C202" s="430"/>
      <c r="D202" s="430">
        <f>D184</f>
        <v>4</v>
      </c>
      <c r="E202" s="430" t="s">
        <v>844</v>
      </c>
      <c r="F202" s="368"/>
      <c r="G202" s="368">
        <v>0.84</v>
      </c>
      <c r="H202" s="368">
        <v>1.97</v>
      </c>
      <c r="I202" s="368">
        <f>I184</f>
        <v>4</v>
      </c>
      <c r="J202" s="368">
        <f>I202*H202*G202</f>
        <v>6.6191999999999993</v>
      </c>
      <c r="K202" s="436"/>
      <c r="M202" s="441"/>
      <c r="N202" s="441"/>
      <c r="O202" s="442"/>
    </row>
    <row r="203" spans="1:16" s="413" customFormat="1">
      <c r="A203" s="427">
        <v>5</v>
      </c>
      <c r="B203" s="428"/>
      <c r="C203" s="430" t="s">
        <v>797</v>
      </c>
      <c r="D203" s="430"/>
      <c r="E203" s="430"/>
      <c r="F203" s="368"/>
      <c r="G203" s="368"/>
      <c r="H203" s="368"/>
      <c r="I203" s="368"/>
      <c r="J203" s="368">
        <f>SUM(J204:J209)</f>
        <v>22.704999999999998</v>
      </c>
      <c r="K203" s="436" t="s">
        <v>12</v>
      </c>
      <c r="M203" s="441"/>
      <c r="N203" s="441"/>
      <c r="O203" s="442"/>
    </row>
    <row r="204" spans="1:16" s="413" customFormat="1">
      <c r="A204" s="427"/>
      <c r="B204" s="428"/>
      <c r="C204" s="430"/>
      <c r="D204" s="430"/>
      <c r="E204" s="430" t="str">
        <f>E191</f>
        <v>Pj2</v>
      </c>
      <c r="F204" s="368"/>
      <c r="G204" s="368">
        <f>(0.8+0.95+0.71)*0+0.95</f>
        <v>0.95</v>
      </c>
      <c r="H204" s="368">
        <v>0.7</v>
      </c>
      <c r="I204" s="368">
        <v>1</v>
      </c>
      <c r="J204" s="368">
        <f t="shared" ref="J204:J209" si="18">I204*H204*G204</f>
        <v>0.66499999999999992</v>
      </c>
      <c r="K204" s="436"/>
      <c r="M204" s="441"/>
      <c r="N204" s="441"/>
      <c r="O204" s="442"/>
    </row>
    <row r="205" spans="1:16" s="413" customFormat="1">
      <c r="A205" s="427"/>
      <c r="B205" s="428"/>
      <c r="C205" s="430"/>
      <c r="D205" s="430"/>
      <c r="E205" s="430" t="str">
        <f>E193</f>
        <v>Pj3</v>
      </c>
      <c r="F205" s="368"/>
      <c r="G205" s="368">
        <f>(0.8+0.95+0.71)*0+0.95</f>
        <v>0.95</v>
      </c>
      <c r="H205" s="368">
        <v>0.7</v>
      </c>
      <c r="I205" s="368">
        <v>2</v>
      </c>
      <c r="J205" s="368">
        <f t="shared" si="18"/>
        <v>1.3299999999999998</v>
      </c>
      <c r="K205" s="436"/>
      <c r="M205" s="441"/>
      <c r="N205" s="441"/>
      <c r="O205" s="442"/>
    </row>
    <row r="206" spans="1:16" s="413" customFormat="1">
      <c r="A206" s="443"/>
      <c r="B206" s="429"/>
      <c r="C206" s="431"/>
      <c r="D206" s="431"/>
      <c r="E206" s="431"/>
      <c r="F206" s="444"/>
      <c r="G206" s="444">
        <v>0.95</v>
      </c>
      <c r="H206" s="444">
        <f>H205</f>
        <v>0.7</v>
      </c>
      <c r="I206" s="444">
        <v>2</v>
      </c>
      <c r="J206" s="368">
        <f t="shared" si="18"/>
        <v>1.3299999999999998</v>
      </c>
      <c r="K206" s="445"/>
      <c r="M206" s="438"/>
      <c r="N206" s="438"/>
      <c r="O206" s="446"/>
    </row>
    <row r="207" spans="1:16" s="413" customFormat="1">
      <c r="A207" s="427"/>
      <c r="B207" s="428"/>
      <c r="C207" s="430"/>
      <c r="D207" s="430"/>
      <c r="E207" s="430" t="s">
        <v>858</v>
      </c>
      <c r="F207" s="368"/>
      <c r="G207" s="368">
        <f>(0.75*2+0.95)*0+0.95</f>
        <v>0.95</v>
      </c>
      <c r="H207" s="368">
        <v>0.7</v>
      </c>
      <c r="I207" s="368">
        <v>2</v>
      </c>
      <c r="J207" s="368">
        <f t="shared" si="18"/>
        <v>1.3299999999999998</v>
      </c>
      <c r="K207" s="436"/>
      <c r="M207" s="438"/>
      <c r="N207" s="438"/>
      <c r="O207" s="446"/>
    </row>
    <row r="208" spans="1:16" s="413" customFormat="1">
      <c r="A208" s="443"/>
      <c r="B208" s="429"/>
      <c r="C208" s="431"/>
      <c r="D208" s="431"/>
      <c r="E208" s="431"/>
      <c r="F208" s="444"/>
      <c r="G208" s="444">
        <v>0.95</v>
      </c>
      <c r="H208" s="444">
        <f>H207</f>
        <v>0.7</v>
      </c>
      <c r="I208" s="444">
        <v>10</v>
      </c>
      <c r="J208" s="368">
        <f t="shared" si="18"/>
        <v>6.6499999999999995</v>
      </c>
      <c r="K208" s="445"/>
      <c r="M208" s="438"/>
      <c r="N208" s="438"/>
      <c r="O208" s="446"/>
    </row>
    <row r="209" spans="1:17" s="413" customFormat="1">
      <c r="A209" s="443"/>
      <c r="B209" s="429"/>
      <c r="C209" s="431"/>
      <c r="D209" s="431"/>
      <c r="E209" s="431" t="s">
        <v>855</v>
      </c>
      <c r="F209" s="444"/>
      <c r="G209" s="444">
        <f>0.75</f>
        <v>0.75</v>
      </c>
      <c r="H209" s="444">
        <f>0.75+1.15</f>
        <v>1.9</v>
      </c>
      <c r="I209" s="444">
        <v>8</v>
      </c>
      <c r="J209" s="368">
        <f t="shared" si="18"/>
        <v>11.399999999999999</v>
      </c>
      <c r="K209" s="445"/>
      <c r="M209" s="438"/>
      <c r="N209" s="438"/>
      <c r="O209" s="446"/>
    </row>
    <row r="210" spans="1:17" s="413" customFormat="1">
      <c r="A210" s="427">
        <v>5</v>
      </c>
      <c r="B210" s="428"/>
      <c r="C210" s="426" t="s">
        <v>919</v>
      </c>
      <c r="D210" s="431"/>
      <c r="E210" s="431"/>
      <c r="F210" s="444"/>
      <c r="G210" s="444"/>
      <c r="H210" s="444"/>
      <c r="I210" s="444"/>
      <c r="J210" s="444">
        <f>SUM(J211:J212)</f>
        <v>102.19999999999999</v>
      </c>
      <c r="K210" s="445"/>
      <c r="M210" s="438"/>
      <c r="N210" s="438"/>
      <c r="O210" s="446"/>
    </row>
    <row r="211" spans="1:17" s="413" customFormat="1">
      <c r="A211" s="443"/>
      <c r="B211" s="429"/>
      <c r="C211" s="431"/>
      <c r="D211" s="431"/>
      <c r="E211" s="431"/>
      <c r="F211" s="444">
        <f>0.95*2+0.7*2</f>
        <v>3.3</v>
      </c>
      <c r="G211" s="444"/>
      <c r="H211" s="444"/>
      <c r="I211" s="444">
        <f>7*2</f>
        <v>14</v>
      </c>
      <c r="J211" s="444">
        <f>I211*F211</f>
        <v>46.199999999999996</v>
      </c>
      <c r="K211" s="445"/>
      <c r="M211" s="438"/>
      <c r="N211" s="438"/>
      <c r="O211" s="446"/>
    </row>
    <row r="212" spans="1:17" s="413" customFormat="1">
      <c r="A212" s="443"/>
      <c r="B212" s="429"/>
      <c r="C212" s="431"/>
      <c r="D212" s="431"/>
      <c r="E212" s="431"/>
      <c r="F212" s="444">
        <f>1.9*2+0.8*4</f>
        <v>7</v>
      </c>
      <c r="G212" s="444"/>
      <c r="H212" s="444"/>
      <c r="I212" s="444">
        <f>I209</f>
        <v>8</v>
      </c>
      <c r="J212" s="444">
        <f>I212*F212</f>
        <v>56</v>
      </c>
      <c r="K212" s="445"/>
      <c r="M212" s="438"/>
      <c r="N212" s="438"/>
      <c r="O212" s="446"/>
    </row>
    <row r="213" spans="1:17" s="413" customFormat="1">
      <c r="A213" s="443">
        <v>7</v>
      </c>
      <c r="B213" s="429"/>
      <c r="C213" s="431" t="s">
        <v>904</v>
      </c>
      <c r="D213" s="431"/>
      <c r="E213" s="431"/>
      <c r="F213" s="444">
        <v>0.95</v>
      </c>
      <c r="G213" s="444"/>
      <c r="H213" s="444">
        <v>0.3</v>
      </c>
      <c r="I213" s="444">
        <v>2</v>
      </c>
      <c r="J213" s="444">
        <f>I213*H213*F213</f>
        <v>0.56999999999999995</v>
      </c>
      <c r="K213" s="445"/>
      <c r="M213" s="438"/>
      <c r="N213" s="438"/>
      <c r="O213" s="446">
        <f>J213*2</f>
        <v>1.1399999999999999</v>
      </c>
      <c r="P213" s="501">
        <f>O213</f>
        <v>1.1399999999999999</v>
      </c>
    </row>
    <row r="214" spans="1:17" s="413" customFormat="1">
      <c r="A214" s="427">
        <v>8</v>
      </c>
      <c r="B214" s="428"/>
      <c r="C214" s="430" t="s">
        <v>798</v>
      </c>
      <c r="D214" s="430"/>
      <c r="E214" s="430"/>
      <c r="F214" s="368"/>
      <c r="G214" s="368"/>
      <c r="H214" s="368"/>
      <c r="I214" s="368"/>
      <c r="J214" s="368">
        <f>SUM(J215:J216)</f>
        <v>92.400999999999996</v>
      </c>
      <c r="K214" s="436" t="str">
        <f>K203</f>
        <v>m2</v>
      </c>
      <c r="M214" s="438"/>
      <c r="N214" s="438"/>
      <c r="O214" s="446"/>
    </row>
    <row r="215" spans="1:17" s="413" customFormat="1">
      <c r="A215" s="443"/>
      <c r="B215" s="429"/>
      <c r="C215" s="431"/>
      <c r="D215" s="431"/>
      <c r="E215" s="431"/>
      <c r="F215" s="444">
        <v>11.32</v>
      </c>
      <c r="G215" s="444"/>
      <c r="H215" s="444">
        <f>3.65</f>
        <v>3.65</v>
      </c>
      <c r="I215" s="444">
        <v>2</v>
      </c>
      <c r="J215" s="368">
        <f>I215*H215*F215</f>
        <v>82.635999999999996</v>
      </c>
      <c r="K215" s="445"/>
      <c r="M215" s="438"/>
      <c r="N215" s="438"/>
      <c r="O215" s="446"/>
      <c r="Q215" s="413">
        <f>27-7</f>
        <v>20</v>
      </c>
    </row>
    <row r="216" spans="1:17" s="413" customFormat="1">
      <c r="A216" s="443"/>
      <c r="B216" s="429"/>
      <c r="C216" s="431"/>
      <c r="D216" s="431"/>
      <c r="E216" s="431"/>
      <c r="F216" s="444">
        <f>1.55</f>
        <v>1.55</v>
      </c>
      <c r="G216" s="444"/>
      <c r="H216" s="444">
        <f>H215-0.5</f>
        <v>3.15</v>
      </c>
      <c r="I216" s="444">
        <v>2</v>
      </c>
      <c r="J216" s="368">
        <f>I216*H216*F216</f>
        <v>9.7650000000000006</v>
      </c>
      <c r="K216" s="445"/>
      <c r="M216" s="438"/>
      <c r="N216" s="438"/>
      <c r="O216" s="446"/>
    </row>
    <row r="217" spans="1:17" s="413" customFormat="1">
      <c r="A217" s="427"/>
      <c r="B217" s="428"/>
      <c r="C217" s="430"/>
      <c r="D217" s="430"/>
      <c r="E217" s="430"/>
      <c r="F217" s="368"/>
      <c r="G217" s="368"/>
      <c r="H217" s="368"/>
      <c r="I217" s="368"/>
      <c r="J217" s="368"/>
      <c r="K217" s="436"/>
      <c r="M217" s="438"/>
      <c r="N217" s="438"/>
      <c r="O217" s="446"/>
    </row>
    <row r="218" spans="1:17" s="413" customFormat="1">
      <c r="A218" s="427"/>
      <c r="B218" s="428"/>
      <c r="C218" s="430" t="s">
        <v>920</v>
      </c>
      <c r="D218" s="430"/>
      <c r="E218" s="430"/>
      <c r="F218" s="368">
        <v>0.73</v>
      </c>
      <c r="G218" s="368"/>
      <c r="H218" s="368"/>
      <c r="I218" s="368">
        <f>14*8</f>
        <v>112</v>
      </c>
      <c r="J218" s="368"/>
      <c r="K218" s="436"/>
      <c r="M218" s="438">
        <v>0.72</v>
      </c>
      <c r="N218" s="438">
        <f>0.2*2</f>
        <v>0.4</v>
      </c>
      <c r="O218" s="446">
        <f>N218*M218*I218</f>
        <v>32.256</v>
      </c>
    </row>
    <row r="219" spans="1:17">
      <c r="A219" s="341"/>
      <c r="B219" s="342"/>
      <c r="C219" s="342"/>
      <c r="D219" s="342"/>
      <c r="E219" s="342"/>
      <c r="F219" s="347"/>
      <c r="G219" s="347"/>
      <c r="H219" s="347"/>
      <c r="I219" s="347"/>
      <c r="J219" s="347"/>
      <c r="K219" s="364"/>
      <c r="L219" s="111"/>
      <c r="M219" s="432"/>
      <c r="N219" s="432"/>
      <c r="O219" s="435"/>
      <c r="P219" s="111"/>
      <c r="Q219" s="111"/>
    </row>
    <row r="220" spans="1:17">
      <c r="A220" s="341"/>
      <c r="B220" s="342"/>
      <c r="C220" s="342"/>
      <c r="D220" s="342"/>
      <c r="E220" s="342"/>
      <c r="F220" s="347"/>
      <c r="G220" s="347"/>
      <c r="H220" s="347"/>
      <c r="I220" s="347"/>
      <c r="J220" s="347"/>
      <c r="K220" s="364"/>
      <c r="L220" s="111"/>
      <c r="N220" s="111"/>
      <c r="P220" s="111"/>
      <c r="Q220" s="111"/>
    </row>
    <row r="221" spans="1:17">
      <c r="A221" s="341"/>
      <c r="B221" s="342"/>
      <c r="C221" s="342"/>
      <c r="D221" s="342"/>
      <c r="E221" s="342"/>
      <c r="F221" s="347"/>
      <c r="G221" s="347"/>
      <c r="H221" s="347"/>
      <c r="I221" s="347"/>
      <c r="J221" s="347"/>
      <c r="K221" s="364"/>
      <c r="L221" s="111"/>
      <c r="N221" s="111"/>
      <c r="P221" s="111"/>
      <c r="Q221" s="111"/>
    </row>
    <row r="222" spans="1:17">
      <c r="A222" s="341"/>
      <c r="B222" s="342"/>
      <c r="C222" s="342"/>
      <c r="D222" s="342"/>
      <c r="E222" s="342"/>
      <c r="F222" s="347"/>
      <c r="G222" s="347"/>
      <c r="H222" s="347"/>
      <c r="I222" s="347"/>
      <c r="J222" s="347"/>
      <c r="K222" s="364"/>
      <c r="L222" s="111"/>
      <c r="N222" s="111"/>
      <c r="P222" s="111"/>
      <c r="Q222" s="111"/>
    </row>
    <row r="223" spans="1:17">
      <c r="A223" s="1924" t="s">
        <v>0</v>
      </c>
      <c r="B223" s="1925" t="s">
        <v>412</v>
      </c>
      <c r="C223" s="1925"/>
      <c r="D223" s="1925"/>
      <c r="E223" s="1926"/>
      <c r="F223" s="400"/>
      <c r="G223" s="400"/>
      <c r="H223" s="400"/>
      <c r="I223" s="400"/>
      <c r="J223" s="1927" t="s">
        <v>413</v>
      </c>
      <c r="K223" s="1927" t="s">
        <v>414</v>
      </c>
      <c r="L223" s="111"/>
      <c r="N223" s="111"/>
      <c r="P223" s="111"/>
      <c r="Q223" s="111"/>
    </row>
    <row r="224" spans="1:17">
      <c r="A224" s="1924"/>
      <c r="B224" s="1925"/>
      <c r="C224" s="1925"/>
      <c r="D224" s="1925"/>
      <c r="E224" s="1926"/>
      <c r="F224" s="400"/>
      <c r="G224" s="400"/>
      <c r="H224" s="400"/>
      <c r="I224" s="400"/>
      <c r="J224" s="1927"/>
      <c r="K224" s="1927"/>
      <c r="L224" s="111"/>
      <c r="N224" s="111"/>
      <c r="P224" s="111"/>
      <c r="Q224" s="111"/>
    </row>
    <row r="225" spans="1:17">
      <c r="A225" s="345"/>
      <c r="B225" s="346"/>
      <c r="C225" s="386"/>
      <c r="D225" s="386"/>
      <c r="E225" s="386"/>
      <c r="F225" s="347"/>
      <c r="G225" s="347"/>
      <c r="H225" s="347"/>
      <c r="I225" s="347"/>
      <c r="J225" s="347"/>
      <c r="K225" s="364"/>
      <c r="L225" s="111"/>
      <c r="N225" s="111"/>
      <c r="P225" s="111"/>
      <c r="Q225" s="111"/>
    </row>
    <row r="226" spans="1:17">
      <c r="A226" s="362" t="s">
        <v>681</v>
      </c>
      <c r="B226" s="363"/>
      <c r="C226" s="399" t="s">
        <v>526</v>
      </c>
      <c r="D226" s="386"/>
      <c r="E226" s="386"/>
      <c r="F226" s="347"/>
      <c r="G226" s="347"/>
      <c r="H226" s="347"/>
      <c r="I226" s="347"/>
      <c r="J226" s="347"/>
      <c r="K226" s="364"/>
      <c r="L226" s="111"/>
      <c r="N226" s="111"/>
      <c r="P226" s="111"/>
      <c r="Q226" s="111"/>
    </row>
    <row r="227" spans="1:17">
      <c r="A227" s="345">
        <v>1</v>
      </c>
      <c r="B227" s="346"/>
      <c r="C227" s="386" t="s">
        <v>823</v>
      </c>
      <c r="D227" s="386"/>
      <c r="E227" s="386"/>
      <c r="F227" s="347">
        <f>27+2.4*2</f>
        <v>31.8</v>
      </c>
      <c r="G227" s="347">
        <f>10+2.4*2</f>
        <v>14.8</v>
      </c>
      <c r="H227" s="347"/>
      <c r="I227" s="347">
        <v>1</v>
      </c>
      <c r="J227" s="347">
        <f>I227*G227*F227</f>
        <v>470.64000000000004</v>
      </c>
      <c r="K227" s="364" t="s">
        <v>450</v>
      </c>
      <c r="L227" s="111"/>
      <c r="N227" s="111"/>
      <c r="P227" s="111"/>
      <c r="Q227" s="111"/>
    </row>
    <row r="228" spans="1:17">
      <c r="A228" s="345">
        <v>2</v>
      </c>
      <c r="B228" s="346"/>
      <c r="C228" s="386" t="s">
        <v>859</v>
      </c>
      <c r="D228" s="386"/>
      <c r="E228" s="386"/>
      <c r="F228" s="364">
        <f>F227*2+G227*2</f>
        <v>93.2</v>
      </c>
      <c r="G228" s="364"/>
      <c r="H228" s="364"/>
      <c r="I228" s="364">
        <v>2</v>
      </c>
      <c r="J228" s="364">
        <f>I228*F228</f>
        <v>186.4</v>
      </c>
      <c r="K228" s="364" t="str">
        <f>K229</f>
        <v>m¹</v>
      </c>
      <c r="L228" s="111"/>
      <c r="N228" s="111"/>
      <c r="P228" s="111"/>
      <c r="Q228" s="111"/>
    </row>
    <row r="229" spans="1:17">
      <c r="A229" s="345">
        <v>3</v>
      </c>
      <c r="B229" s="346"/>
      <c r="C229" s="386" t="s">
        <v>825</v>
      </c>
      <c r="D229" s="386"/>
      <c r="E229" s="386"/>
      <c r="F229" s="364">
        <f>F227*2+G227*2</f>
        <v>93.2</v>
      </c>
      <c r="G229" s="364"/>
      <c r="H229" s="364"/>
      <c r="I229" s="364">
        <v>1</v>
      </c>
      <c r="J229" s="364">
        <f>I229*F229</f>
        <v>93.2</v>
      </c>
      <c r="K229" s="364" t="s">
        <v>453</v>
      </c>
      <c r="L229" s="111"/>
      <c r="N229" s="111"/>
      <c r="P229" s="111"/>
      <c r="Q229" s="111"/>
    </row>
    <row r="230" spans="1:17">
      <c r="A230" s="345">
        <v>4</v>
      </c>
      <c r="B230" s="346"/>
      <c r="C230" s="386" t="s">
        <v>826</v>
      </c>
      <c r="D230" s="386"/>
      <c r="E230" s="386"/>
      <c r="F230" s="364">
        <f>F229</f>
        <v>93.2</v>
      </c>
      <c r="G230" s="364"/>
      <c r="H230" s="364"/>
      <c r="I230" s="364">
        <v>1</v>
      </c>
      <c r="J230" s="364">
        <f>I230*F230</f>
        <v>93.2</v>
      </c>
      <c r="K230" s="364" t="s">
        <v>453</v>
      </c>
      <c r="L230" s="111"/>
      <c r="N230" s="111"/>
      <c r="P230" s="111"/>
      <c r="Q230" s="111"/>
    </row>
    <row r="231" spans="1:17">
      <c r="A231" s="345">
        <v>5</v>
      </c>
      <c r="B231" s="346"/>
      <c r="C231" s="386" t="s">
        <v>827</v>
      </c>
      <c r="D231" s="386"/>
      <c r="E231" s="386"/>
      <c r="F231" s="364">
        <f>F230</f>
        <v>93.2</v>
      </c>
      <c r="G231" s="364"/>
      <c r="H231" s="364"/>
      <c r="I231" s="364">
        <v>1</v>
      </c>
      <c r="J231" s="364">
        <f>I231*F231</f>
        <v>93.2</v>
      </c>
      <c r="K231" s="364" t="s">
        <v>453</v>
      </c>
      <c r="L231" s="111"/>
      <c r="N231" s="111"/>
      <c r="P231" s="111"/>
      <c r="Q231" s="111"/>
    </row>
    <row r="232" spans="1:17">
      <c r="A232" s="345">
        <v>6</v>
      </c>
      <c r="B232" s="346"/>
      <c r="C232" s="386" t="s">
        <v>828</v>
      </c>
      <c r="D232" s="386"/>
      <c r="E232" s="386"/>
      <c r="F232" s="347"/>
      <c r="G232" s="347"/>
      <c r="H232" s="347"/>
      <c r="I232" s="347"/>
      <c r="J232" s="347">
        <f>SUM(J233:J235)</f>
        <v>591.31732217234594</v>
      </c>
      <c r="K232" s="364" t="s">
        <v>450</v>
      </c>
      <c r="L232" s="111"/>
      <c r="N232" s="111"/>
      <c r="O232" s="11" t="s">
        <v>514</v>
      </c>
      <c r="P232" s="10" t="s">
        <v>860</v>
      </c>
      <c r="Q232" s="111"/>
    </row>
    <row r="233" spans="1:17">
      <c r="A233" s="345"/>
      <c r="B233" s="346"/>
      <c r="C233" s="386"/>
      <c r="D233" s="386"/>
      <c r="E233" s="386"/>
      <c r="F233" s="347">
        <v>27</v>
      </c>
      <c r="G233" s="347">
        <v>10</v>
      </c>
      <c r="H233" s="347">
        <v>0.79900000000000004</v>
      </c>
      <c r="I233" s="347">
        <v>1</v>
      </c>
      <c r="J233" s="347">
        <f>I233*G233*F233/H233</f>
        <v>337.92240300375465</v>
      </c>
      <c r="K233" s="364"/>
      <c r="L233" s="111"/>
      <c r="N233" s="10" t="s">
        <v>515</v>
      </c>
      <c r="O233" s="46">
        <f>10/2</f>
        <v>5</v>
      </c>
      <c r="P233" s="401">
        <v>2.66</v>
      </c>
      <c r="Q233" s="111"/>
    </row>
    <row r="234" spans="1:17">
      <c r="A234" s="345"/>
      <c r="B234" s="346"/>
      <c r="C234" s="386"/>
      <c r="D234" s="386"/>
      <c r="E234" s="386"/>
      <c r="F234" s="347">
        <f>27+2.6*2</f>
        <v>32.200000000000003</v>
      </c>
      <c r="G234" s="347">
        <f>10+2.6*2</f>
        <v>15.2</v>
      </c>
      <c r="H234" s="347">
        <v>0.86599999999999999</v>
      </c>
      <c r="I234" s="347">
        <v>1</v>
      </c>
      <c r="J234" s="347">
        <f>I234*G234*F234/H234</f>
        <v>565.17321016166284</v>
      </c>
      <c r="K234" s="364"/>
      <c r="L234" s="111"/>
      <c r="N234" s="10" t="s">
        <v>516</v>
      </c>
      <c r="O234" s="11">
        <f>((O233^2)*2)^0.5</f>
        <v>7.0710678118654755</v>
      </c>
      <c r="P234" s="402">
        <f>((P233^2)*2)^0.5</f>
        <v>3.761808075912433</v>
      </c>
      <c r="Q234" s="111"/>
    </row>
    <row r="235" spans="1:17" ht="15.75">
      <c r="A235" s="345"/>
      <c r="B235" s="346"/>
      <c r="C235" s="386"/>
      <c r="D235" s="386"/>
      <c r="E235" s="386"/>
      <c r="F235" s="347">
        <f>F233</f>
        <v>27</v>
      </c>
      <c r="G235" s="347">
        <f>G233</f>
        <v>10</v>
      </c>
      <c r="H235" s="347">
        <f>H234</f>
        <v>0.86599999999999999</v>
      </c>
      <c r="I235" s="347">
        <v>-1</v>
      </c>
      <c r="J235" s="347">
        <f>I235*G235*F235/H235</f>
        <v>-311.77829099307161</v>
      </c>
      <c r="K235" s="364"/>
      <c r="L235" s="111"/>
      <c r="N235" s="10" t="s">
        <v>517</v>
      </c>
      <c r="O235" s="11">
        <v>38</v>
      </c>
      <c r="P235" s="402">
        <v>30</v>
      </c>
      <c r="Q235" s="111"/>
    </row>
    <row r="236" spans="1:17">
      <c r="A236" s="345">
        <v>7</v>
      </c>
      <c r="B236" s="346"/>
      <c r="C236" s="386" t="s">
        <v>861</v>
      </c>
      <c r="D236" s="386"/>
      <c r="E236" s="386"/>
      <c r="F236" s="347">
        <f>(O238+P238)*4+F233-G233</f>
        <v>65.562207646771441</v>
      </c>
      <c r="G236" s="347"/>
      <c r="H236" s="347"/>
      <c r="I236" s="347">
        <v>1</v>
      </c>
      <c r="J236" s="347">
        <f>I236*F236</f>
        <v>65.562207646771441</v>
      </c>
      <c r="K236" s="364" t="str">
        <f>K229</f>
        <v>m¹</v>
      </c>
      <c r="L236" s="111"/>
      <c r="N236" s="10" t="s">
        <v>518</v>
      </c>
      <c r="O236" s="11">
        <v>0.78100000000000003</v>
      </c>
      <c r="P236" s="403">
        <v>0.57699999999999996</v>
      </c>
      <c r="Q236" s="111"/>
    </row>
    <row r="237" spans="1:17">
      <c r="A237" s="345">
        <v>8</v>
      </c>
      <c r="B237" s="346"/>
      <c r="C237" s="386" t="s">
        <v>830</v>
      </c>
      <c r="D237" s="386"/>
      <c r="E237" s="386"/>
      <c r="F237" s="347"/>
      <c r="G237" s="347"/>
      <c r="H237" s="347"/>
      <c r="I237" s="347">
        <v>2</v>
      </c>
      <c r="J237" s="347">
        <f>I237</f>
        <v>2</v>
      </c>
      <c r="K237" s="364" t="s">
        <v>7</v>
      </c>
      <c r="L237" s="111"/>
      <c r="N237" s="10" t="s">
        <v>415</v>
      </c>
      <c r="O237" s="11">
        <f>O233*O236</f>
        <v>3.9050000000000002</v>
      </c>
      <c r="P237" s="402">
        <f>P233*P236</f>
        <v>1.5348200000000001</v>
      </c>
      <c r="Q237" s="111"/>
    </row>
    <row r="238" spans="1:17">
      <c r="A238" s="345">
        <v>9</v>
      </c>
      <c r="B238" s="346"/>
      <c r="C238" s="386" t="s">
        <v>831</v>
      </c>
      <c r="D238" s="386"/>
      <c r="E238" s="386"/>
      <c r="F238" s="347"/>
      <c r="G238" s="347"/>
      <c r="H238" s="347"/>
      <c r="I238" s="347">
        <v>4</v>
      </c>
      <c r="J238" s="347">
        <f>I238</f>
        <v>4</v>
      </c>
      <c r="K238" s="364" t="s">
        <v>7</v>
      </c>
      <c r="L238" s="111"/>
      <c r="N238" s="10" t="s">
        <v>519</v>
      </c>
      <c r="O238" s="11">
        <f>(O234^2+O237^2)^0.5</f>
        <v>8.0776868594913971</v>
      </c>
      <c r="P238" s="402">
        <f>(P234^2+P237^2)^0.5</f>
        <v>4.062865052201464</v>
      </c>
      <c r="Q238" s="111"/>
    </row>
    <row r="239" spans="1:17">
      <c r="A239" s="366"/>
      <c r="B239" s="367"/>
      <c r="C239" s="365"/>
      <c r="D239" s="365"/>
      <c r="E239" s="365"/>
      <c r="F239" s="347"/>
      <c r="G239" s="347"/>
      <c r="H239" s="347"/>
      <c r="I239" s="347"/>
      <c r="J239" s="347"/>
      <c r="K239" s="364"/>
      <c r="L239" s="111"/>
      <c r="N239" s="111"/>
      <c r="P239" s="111"/>
      <c r="Q239" s="111"/>
    </row>
    <row r="240" spans="1:17">
      <c r="A240" s="362" t="s">
        <v>470</v>
      </c>
      <c r="B240" s="363"/>
      <c r="C240" s="399" t="s">
        <v>527</v>
      </c>
      <c r="D240" s="386"/>
      <c r="E240" s="386"/>
      <c r="F240" s="347"/>
      <c r="G240" s="347"/>
      <c r="H240" s="347"/>
      <c r="I240" s="347"/>
      <c r="J240" s="347"/>
      <c r="K240" s="364"/>
      <c r="L240" s="111"/>
      <c r="N240" s="111"/>
      <c r="P240" s="111"/>
      <c r="Q240" s="111"/>
    </row>
    <row r="241" spans="1:17">
      <c r="A241" s="345">
        <v>1</v>
      </c>
      <c r="B241" s="346"/>
      <c r="C241" s="386" t="s">
        <v>800</v>
      </c>
      <c r="D241" s="386"/>
      <c r="E241" s="386"/>
      <c r="F241" s="347"/>
      <c r="G241" s="347"/>
      <c r="H241" s="347"/>
      <c r="I241" s="347"/>
      <c r="J241" s="347">
        <f>SUM(J242:J248)</f>
        <v>252.21750000000003</v>
      </c>
      <c r="K241" s="364" t="s">
        <v>450</v>
      </c>
      <c r="L241" s="111"/>
      <c r="N241" s="111"/>
      <c r="P241" s="111"/>
      <c r="Q241" s="111"/>
    </row>
    <row r="242" spans="1:17">
      <c r="A242" s="345"/>
      <c r="B242" s="346"/>
      <c r="C242" s="386"/>
      <c r="D242" s="386" t="s">
        <v>862</v>
      </c>
      <c r="E242" s="386"/>
      <c r="F242" s="347">
        <f>27-0.15</f>
        <v>26.85</v>
      </c>
      <c r="G242" s="347">
        <f>10-0.15</f>
        <v>9.85</v>
      </c>
      <c r="H242" s="347"/>
      <c r="I242" s="347">
        <v>1</v>
      </c>
      <c r="J242" s="347">
        <f>I242*G242*F242</f>
        <v>264.47250000000003</v>
      </c>
      <c r="K242" s="364"/>
      <c r="L242" s="111"/>
      <c r="N242" s="111"/>
      <c r="P242" s="111"/>
      <c r="Q242" s="111"/>
    </row>
    <row r="243" spans="1:17">
      <c r="A243" s="345"/>
      <c r="B243" s="346"/>
      <c r="C243" s="386"/>
      <c r="D243" s="386" t="s">
        <v>627</v>
      </c>
      <c r="E243" s="386"/>
      <c r="F243" s="347">
        <f>F242</f>
        <v>26.85</v>
      </c>
      <c r="G243" s="347">
        <v>1.65</v>
      </c>
      <c r="H243" s="347"/>
      <c r="I243" s="347">
        <f>2*0</f>
        <v>0</v>
      </c>
      <c r="J243" s="347">
        <f>I243*G243*F243</f>
        <v>0</v>
      </c>
      <c r="K243" s="364"/>
      <c r="L243" s="111"/>
      <c r="N243" s="111"/>
      <c r="P243" s="111"/>
      <c r="Q243" s="111"/>
    </row>
    <row r="244" spans="1:17">
      <c r="A244" s="345"/>
      <c r="B244" s="346"/>
      <c r="C244" s="386"/>
      <c r="D244" s="386" t="s">
        <v>863</v>
      </c>
      <c r="E244" s="386"/>
      <c r="F244" s="347">
        <v>7.85</v>
      </c>
      <c r="G244" s="347">
        <v>0.65</v>
      </c>
      <c r="H244" s="347"/>
      <c r="I244" s="347">
        <f>2*0</f>
        <v>0</v>
      </c>
      <c r="J244" s="347">
        <f t="shared" ref="J244:J245" si="19">I244*G244*F244</f>
        <v>0</v>
      </c>
      <c r="K244" s="364"/>
      <c r="L244" s="111"/>
      <c r="N244" s="111"/>
      <c r="P244" s="111"/>
      <c r="Q244" s="111"/>
    </row>
    <row r="245" spans="1:17">
      <c r="A245" s="345"/>
      <c r="B245" s="346"/>
      <c r="C245" s="386"/>
      <c r="D245" s="386"/>
      <c r="E245" s="386"/>
      <c r="F245" s="347">
        <v>5.85</v>
      </c>
      <c r="G245" s="347">
        <v>0.45</v>
      </c>
      <c r="H245" s="347"/>
      <c r="I245" s="347">
        <v>0</v>
      </c>
      <c r="J245" s="347">
        <f t="shared" si="19"/>
        <v>0</v>
      </c>
      <c r="K245" s="364"/>
      <c r="L245" s="111"/>
      <c r="N245" s="111"/>
      <c r="P245" s="111"/>
      <c r="Q245" s="111"/>
    </row>
    <row r="246" spans="1:17">
      <c r="A246" s="345"/>
      <c r="B246" s="346"/>
      <c r="C246" s="386"/>
      <c r="D246" s="386" t="s">
        <v>864</v>
      </c>
      <c r="E246" s="386"/>
      <c r="F246" s="347">
        <v>7</v>
      </c>
      <c r="G246" s="347"/>
      <c r="H246" s="347">
        <v>0.6</v>
      </c>
      <c r="I246" s="347">
        <v>0</v>
      </c>
      <c r="J246" s="347">
        <f>I246*H246*F246</f>
        <v>0</v>
      </c>
      <c r="K246" s="364"/>
      <c r="L246" s="111"/>
      <c r="N246" s="111"/>
      <c r="P246" s="111"/>
      <c r="Q246" s="111"/>
    </row>
    <row r="247" spans="1:17" s="111" customFormat="1">
      <c r="A247" s="419"/>
      <c r="B247" s="420"/>
      <c r="C247" s="421"/>
      <c r="D247" s="421" t="s">
        <v>967</v>
      </c>
      <c r="E247" s="421"/>
      <c r="F247" s="347">
        <v>2.85</v>
      </c>
      <c r="G247" s="347">
        <f>4.3</f>
        <v>4.3</v>
      </c>
      <c r="H247" s="347" t="s">
        <v>337</v>
      </c>
      <c r="I247" s="347">
        <v>-1</v>
      </c>
      <c r="J247" s="347">
        <f>I247*G247*F247</f>
        <v>-12.254999999999999</v>
      </c>
      <c r="K247" s="423"/>
      <c r="O247" s="11"/>
    </row>
    <row r="248" spans="1:17">
      <c r="A248" s="345"/>
      <c r="B248" s="346"/>
      <c r="C248" s="386"/>
      <c r="D248" s="386" t="s">
        <v>600</v>
      </c>
      <c r="E248" s="386"/>
      <c r="F248" s="347">
        <v>0.4</v>
      </c>
      <c r="G248" s="347">
        <v>0.32</v>
      </c>
      <c r="H248" s="347"/>
      <c r="I248" s="347">
        <v>0</v>
      </c>
      <c r="J248" s="347">
        <f>I248*G248*F248</f>
        <v>0</v>
      </c>
      <c r="K248" s="364"/>
      <c r="L248" s="111"/>
      <c r="N248" s="111"/>
      <c r="P248" s="111"/>
      <c r="Q248" s="111"/>
    </row>
    <row r="249" spans="1:17">
      <c r="A249" s="345">
        <v>2</v>
      </c>
      <c r="B249" s="346"/>
      <c r="C249" s="386" t="s">
        <v>802</v>
      </c>
      <c r="D249" s="386"/>
      <c r="E249" s="386"/>
      <c r="F249" s="347"/>
      <c r="G249" s="347"/>
      <c r="H249" s="347"/>
      <c r="I249" s="347"/>
      <c r="J249" s="347">
        <f>SUM(J250:J257)</f>
        <v>116.92999999999999</v>
      </c>
      <c r="K249" s="364" t="s">
        <v>20</v>
      </c>
      <c r="L249" s="111"/>
      <c r="N249" s="111"/>
      <c r="P249" s="111"/>
      <c r="Q249" s="111"/>
    </row>
    <row r="250" spans="1:17" s="111" customFormat="1">
      <c r="A250" s="415"/>
      <c r="B250" s="416"/>
      <c r="C250" s="386"/>
      <c r="D250" s="386"/>
      <c r="E250" s="386" t="s">
        <v>944</v>
      </c>
      <c r="F250" s="417">
        <f>26.85</f>
        <v>26.85</v>
      </c>
      <c r="G250" s="417"/>
      <c r="H250" s="417"/>
      <c r="I250" s="417">
        <v>0</v>
      </c>
      <c r="J250" s="417">
        <f>I250*F250</f>
        <v>0</v>
      </c>
      <c r="K250" s="418"/>
      <c r="O250" s="11"/>
    </row>
    <row r="251" spans="1:17" s="111" customFormat="1">
      <c r="A251" s="415"/>
      <c r="B251" s="416"/>
      <c r="C251" s="386"/>
      <c r="D251" s="386"/>
      <c r="E251" s="386" t="s">
        <v>945</v>
      </c>
      <c r="F251" s="417">
        <f>11.85+1.65</f>
        <v>13.5</v>
      </c>
      <c r="G251" s="417"/>
      <c r="H251" s="417"/>
      <c r="I251" s="417">
        <v>0</v>
      </c>
      <c r="J251" s="417">
        <f t="shared" ref="J251:J253" si="20">I251*F251</f>
        <v>0</v>
      </c>
      <c r="K251" s="418"/>
      <c r="O251" s="11"/>
    </row>
    <row r="252" spans="1:17" s="111" customFormat="1">
      <c r="A252" s="415"/>
      <c r="B252" s="416"/>
      <c r="C252" s="386"/>
      <c r="D252" s="386"/>
      <c r="E252" s="386" t="s">
        <v>936</v>
      </c>
      <c r="F252" s="417">
        <f>11.85</f>
        <v>11.85</v>
      </c>
      <c r="G252" s="417"/>
      <c r="H252" s="417"/>
      <c r="I252" s="417">
        <v>4</v>
      </c>
      <c r="J252" s="417">
        <f t="shared" si="20"/>
        <v>47.4</v>
      </c>
      <c r="K252" s="418"/>
      <c r="O252" s="11"/>
    </row>
    <row r="253" spans="1:17" s="111" customFormat="1">
      <c r="A253" s="419"/>
      <c r="B253" s="420"/>
      <c r="C253" s="421"/>
      <c r="D253" s="421"/>
      <c r="E253" s="421"/>
      <c r="F253" s="422">
        <v>9.85</v>
      </c>
      <c r="G253" s="422"/>
      <c r="H253" s="422"/>
      <c r="I253" s="422">
        <v>4</v>
      </c>
      <c r="J253" s="417">
        <f t="shared" si="20"/>
        <v>39.4</v>
      </c>
      <c r="K253" s="423"/>
      <c r="O253" s="11"/>
    </row>
    <row r="254" spans="1:17" s="111" customFormat="1">
      <c r="A254" s="415"/>
      <c r="B254" s="416"/>
      <c r="C254" s="386"/>
      <c r="D254" s="386"/>
      <c r="E254" s="386" t="s">
        <v>600</v>
      </c>
      <c r="F254" s="417">
        <v>0.4</v>
      </c>
      <c r="G254" s="417"/>
      <c r="H254" s="417"/>
      <c r="I254" s="417">
        <v>0</v>
      </c>
      <c r="J254" s="417">
        <f t="shared" ref="J254:J256" si="21">I254*F254</f>
        <v>0</v>
      </c>
      <c r="K254" s="418"/>
      <c r="O254" s="11"/>
    </row>
    <row r="255" spans="1:17" s="111" customFormat="1">
      <c r="A255" s="415"/>
      <c r="B255" s="416"/>
      <c r="C255" s="386"/>
      <c r="D255" s="386"/>
      <c r="E255" s="386" t="s">
        <v>549</v>
      </c>
      <c r="F255" s="417">
        <v>0.9</v>
      </c>
      <c r="G255" s="417"/>
      <c r="H255" s="417"/>
      <c r="I255" s="417">
        <v>-20</v>
      </c>
      <c r="J255" s="417">
        <f t="shared" si="21"/>
        <v>-18</v>
      </c>
      <c r="K255" s="418"/>
      <c r="O255" s="11"/>
    </row>
    <row r="256" spans="1:17" s="111" customFormat="1">
      <c r="A256" s="415"/>
      <c r="B256" s="416"/>
      <c r="C256" s="386"/>
      <c r="D256" s="386"/>
      <c r="E256" s="386" t="s">
        <v>628</v>
      </c>
      <c r="F256" s="417">
        <v>2.85</v>
      </c>
      <c r="G256" s="417"/>
      <c r="H256" s="417"/>
      <c r="I256" s="417">
        <v>1</v>
      </c>
      <c r="J256" s="417">
        <f t="shared" si="21"/>
        <v>2.85</v>
      </c>
      <c r="K256" s="418"/>
      <c r="O256" s="11"/>
    </row>
    <row r="257" spans="1:17" s="111" customFormat="1">
      <c r="A257" s="345">
        <v>3</v>
      </c>
      <c r="B257" s="420"/>
      <c r="C257" s="386" t="s">
        <v>907</v>
      </c>
      <c r="D257" s="421"/>
      <c r="E257" s="421"/>
      <c r="F257" s="347">
        <f>F215</f>
        <v>11.32</v>
      </c>
      <c r="G257" s="347"/>
      <c r="H257" s="347"/>
      <c r="I257" s="347">
        <v>4</v>
      </c>
      <c r="J257" s="347">
        <f>I257*F257</f>
        <v>45.28</v>
      </c>
      <c r="K257" s="423"/>
      <c r="O257" s="11"/>
    </row>
    <row r="258" spans="1:17" s="111" customFormat="1">
      <c r="A258" s="419"/>
      <c r="B258" s="420"/>
      <c r="C258" s="421"/>
      <c r="D258" s="421"/>
      <c r="E258" s="421"/>
      <c r="F258" s="422"/>
      <c r="G258" s="422"/>
      <c r="H258" s="422"/>
      <c r="I258" s="422"/>
      <c r="J258" s="422"/>
      <c r="K258" s="423"/>
      <c r="O258" s="11"/>
    </row>
    <row r="259" spans="1:17" ht="15" customHeight="1">
      <c r="A259" s="345"/>
      <c r="B259" s="346"/>
      <c r="C259" s="386"/>
      <c r="D259" s="386"/>
      <c r="E259" s="386"/>
      <c r="F259" s="347"/>
      <c r="G259" s="347"/>
      <c r="H259" s="347"/>
      <c r="I259" s="347"/>
      <c r="J259" s="347"/>
      <c r="K259" s="364"/>
      <c r="L259" s="111"/>
      <c r="N259" s="111"/>
      <c r="P259" s="111"/>
      <c r="Q259" s="111"/>
    </row>
    <row r="260" spans="1:17">
      <c r="A260" s="362" t="s">
        <v>471</v>
      </c>
      <c r="B260" s="363"/>
      <c r="C260" s="399" t="s">
        <v>806</v>
      </c>
      <c r="D260" s="386"/>
      <c r="E260" s="386"/>
      <c r="F260" s="347"/>
      <c r="G260" s="347"/>
      <c r="H260" s="347"/>
      <c r="I260" s="347"/>
      <c r="J260" s="347"/>
      <c r="K260" s="364"/>
      <c r="L260" s="111"/>
      <c r="N260" s="111"/>
      <c r="P260" s="111"/>
      <c r="Q260" s="111"/>
    </row>
    <row r="261" spans="1:17">
      <c r="A261" s="345">
        <v>1</v>
      </c>
      <c r="B261" s="346"/>
      <c r="C261" s="386" t="s">
        <v>832</v>
      </c>
      <c r="D261" s="386"/>
      <c r="E261" s="386"/>
      <c r="F261" s="347"/>
      <c r="G261" s="347"/>
      <c r="H261" s="347"/>
      <c r="I261" s="347"/>
      <c r="J261" s="347">
        <f>J262+J266</f>
        <v>448.07499999999993</v>
      </c>
      <c r="K261" s="364" t="s">
        <v>450</v>
      </c>
      <c r="L261" s="111"/>
      <c r="N261" s="111"/>
      <c r="P261" s="111"/>
      <c r="Q261" s="111"/>
    </row>
    <row r="262" spans="1:17">
      <c r="A262" s="345">
        <v>2</v>
      </c>
      <c r="B262" s="346"/>
      <c r="C262" s="386" t="s">
        <v>833</v>
      </c>
      <c r="D262" s="386"/>
      <c r="E262" s="386"/>
      <c r="F262" s="347"/>
      <c r="G262" s="347"/>
      <c r="H262" s="347"/>
      <c r="I262" s="347"/>
      <c r="J262" s="347">
        <f>SUM(J263:J265)</f>
        <v>276.98749999999995</v>
      </c>
      <c r="K262" s="364" t="s">
        <v>450</v>
      </c>
      <c r="L262" s="111"/>
      <c r="N262" s="111"/>
      <c r="P262" s="111"/>
      <c r="Q262" s="111"/>
    </row>
    <row r="263" spans="1:17" s="111" customFormat="1">
      <c r="A263" s="415"/>
      <c r="B263" s="416"/>
      <c r="C263" s="386"/>
      <c r="D263" s="386"/>
      <c r="E263" s="386" t="s">
        <v>552</v>
      </c>
      <c r="F263" s="417">
        <f>27-0.15*3</f>
        <v>26.55</v>
      </c>
      <c r="G263" s="417">
        <f>10-0.15</f>
        <v>9.85</v>
      </c>
      <c r="H263" s="417"/>
      <c r="I263" s="417">
        <v>1</v>
      </c>
      <c r="J263" s="417">
        <f>I263*G263*F263</f>
        <v>261.51749999999998</v>
      </c>
      <c r="K263" s="418"/>
      <c r="O263" s="11"/>
    </row>
    <row r="264" spans="1:17" s="111" customFormat="1">
      <c r="A264" s="415"/>
      <c r="B264" s="416"/>
      <c r="C264" s="386"/>
      <c r="D264" s="386"/>
      <c r="E264" s="386" t="s">
        <v>551</v>
      </c>
      <c r="F264" s="417">
        <v>0.65</v>
      </c>
      <c r="G264" s="417">
        <f>7.85</f>
        <v>7.85</v>
      </c>
      <c r="H264" s="417"/>
      <c r="I264" s="417">
        <v>2</v>
      </c>
      <c r="J264" s="417">
        <f t="shared" ref="J264:J265" si="22">I264*G264*F264</f>
        <v>10.205</v>
      </c>
      <c r="K264" s="418"/>
      <c r="O264" s="11"/>
    </row>
    <row r="265" spans="1:17" s="111" customFormat="1">
      <c r="A265" s="415"/>
      <c r="B265" s="416"/>
      <c r="C265" s="386"/>
      <c r="D265" s="386"/>
      <c r="E265" s="386" t="str">
        <f>E264</f>
        <v>Almari</v>
      </c>
      <c r="F265" s="417">
        <v>0.45</v>
      </c>
      <c r="G265" s="417">
        <v>5.85</v>
      </c>
      <c r="H265" s="417"/>
      <c r="I265" s="417">
        <v>2</v>
      </c>
      <c r="J265" s="417">
        <f t="shared" si="22"/>
        <v>5.2649999999999997</v>
      </c>
      <c r="K265" s="418"/>
      <c r="O265" s="11"/>
    </row>
    <row r="266" spans="1:17">
      <c r="A266" s="345">
        <v>3</v>
      </c>
      <c r="B266" s="346"/>
      <c r="C266" s="386" t="s">
        <v>808</v>
      </c>
      <c r="D266" s="386"/>
      <c r="E266" s="386"/>
      <c r="F266" s="347"/>
      <c r="G266" s="347"/>
      <c r="H266" s="347"/>
      <c r="I266" s="347"/>
      <c r="J266" s="347">
        <f>SUM(J267:J271)</f>
        <v>171.08749999999998</v>
      </c>
      <c r="K266" s="364" t="s">
        <v>450</v>
      </c>
      <c r="L266" s="111"/>
      <c r="N266" s="111"/>
      <c r="P266" s="111"/>
      <c r="Q266" s="111"/>
    </row>
    <row r="267" spans="1:17">
      <c r="A267" s="345"/>
      <c r="B267" s="346"/>
      <c r="C267" s="386"/>
      <c r="D267" s="386"/>
      <c r="E267" s="386"/>
      <c r="F267" s="347">
        <f>27+2.35*2</f>
        <v>31.7</v>
      </c>
      <c r="G267" s="347">
        <f>10+2.35*2</f>
        <v>14.7</v>
      </c>
      <c r="H267" s="347"/>
      <c r="I267" s="347">
        <v>1</v>
      </c>
      <c r="J267" s="417">
        <f>I267*G267*F267</f>
        <v>465.98999999999995</v>
      </c>
      <c r="K267" s="364" t="s">
        <v>20</v>
      </c>
      <c r="L267" s="111"/>
      <c r="N267" s="111"/>
      <c r="P267" s="111"/>
      <c r="Q267" s="111"/>
    </row>
    <row r="268" spans="1:17" s="111" customFormat="1">
      <c r="A268" s="415"/>
      <c r="B268" s="416"/>
      <c r="C268" s="386"/>
      <c r="D268" s="386"/>
      <c r="E268" s="386"/>
      <c r="F268" s="347">
        <f>27+0.15</f>
        <v>27.15</v>
      </c>
      <c r="G268" s="347">
        <f>10+0.15</f>
        <v>10.15</v>
      </c>
      <c r="H268" s="417"/>
      <c r="I268" s="417">
        <v>-1</v>
      </c>
      <c r="J268" s="417">
        <f t="shared" ref="J268:J272" si="23">I268*G268*F268</f>
        <v>-275.57249999999999</v>
      </c>
      <c r="K268" s="418"/>
      <c r="O268" s="11"/>
    </row>
    <row r="269" spans="1:17" s="111" customFormat="1">
      <c r="A269" s="415"/>
      <c r="B269" s="416"/>
      <c r="C269" s="386"/>
      <c r="D269" s="386"/>
      <c r="E269" s="386"/>
      <c r="F269" s="417">
        <f>F264</f>
        <v>0.65</v>
      </c>
      <c r="G269" s="417">
        <f>G264+0.3</f>
        <v>8.15</v>
      </c>
      <c r="H269" s="417"/>
      <c r="I269" s="417">
        <v>-2</v>
      </c>
      <c r="J269" s="417">
        <f t="shared" si="23"/>
        <v>-10.595000000000001</v>
      </c>
      <c r="K269" s="418"/>
      <c r="O269" s="11"/>
    </row>
    <row r="270" spans="1:17" s="111" customFormat="1">
      <c r="A270" s="415"/>
      <c r="B270" s="416"/>
      <c r="C270" s="386"/>
      <c r="D270" s="386"/>
      <c r="E270" s="386"/>
      <c r="F270" s="417">
        <f>F265</f>
        <v>0.45</v>
      </c>
      <c r="G270" s="417">
        <f>G265+0.3</f>
        <v>6.1499999999999995</v>
      </c>
      <c r="H270" s="417"/>
      <c r="I270" s="417">
        <v>-2</v>
      </c>
      <c r="J270" s="417">
        <f t="shared" si="23"/>
        <v>-5.5349999999999993</v>
      </c>
      <c r="K270" s="418"/>
      <c r="O270" s="11"/>
    </row>
    <row r="271" spans="1:17" s="111" customFormat="1">
      <c r="A271" s="419"/>
      <c r="B271" s="420"/>
      <c r="C271" s="421"/>
      <c r="D271" s="421"/>
      <c r="E271" s="421" t="s">
        <v>600</v>
      </c>
      <c r="F271" s="422">
        <v>0.32</v>
      </c>
      <c r="G271" s="422">
        <v>0.5</v>
      </c>
      <c r="H271" s="422"/>
      <c r="I271" s="422">
        <v>-20</v>
      </c>
      <c r="J271" s="417">
        <f t="shared" si="23"/>
        <v>-3.2</v>
      </c>
      <c r="K271" s="423"/>
      <c r="O271" s="11"/>
    </row>
    <row r="272" spans="1:17">
      <c r="A272" s="345"/>
      <c r="B272" s="346"/>
      <c r="C272" s="386"/>
      <c r="D272" s="386"/>
      <c r="E272" s="386"/>
      <c r="F272" s="347"/>
      <c r="G272" s="347"/>
      <c r="H272" s="347"/>
      <c r="I272" s="347"/>
      <c r="J272" s="417">
        <f t="shared" si="23"/>
        <v>0</v>
      </c>
      <c r="K272" s="364"/>
      <c r="L272" s="111"/>
      <c r="N272" s="111"/>
      <c r="P272" s="111"/>
      <c r="Q272" s="111"/>
    </row>
    <row r="273" spans="1:17" s="111" customFormat="1">
      <c r="A273" s="345">
        <v>4</v>
      </c>
      <c r="B273" s="346"/>
      <c r="C273" s="386" t="s">
        <v>902</v>
      </c>
      <c r="D273" s="386"/>
      <c r="E273" s="386"/>
      <c r="F273" s="417">
        <f>(27.15+1.1*2)*4+10.15*2</f>
        <v>137.69999999999999</v>
      </c>
      <c r="G273" s="417"/>
      <c r="H273" s="417"/>
      <c r="I273" s="347">
        <v>1</v>
      </c>
      <c r="J273" s="417">
        <f>I273*F273</f>
        <v>137.69999999999999</v>
      </c>
      <c r="K273" s="418"/>
      <c r="O273" s="11"/>
    </row>
    <row r="274" spans="1:17" s="111" customFormat="1">
      <c r="A274" s="345">
        <v>4</v>
      </c>
      <c r="B274" s="346"/>
      <c r="C274" s="386" t="s">
        <v>901</v>
      </c>
      <c r="D274" s="386"/>
      <c r="E274" s="386"/>
      <c r="F274" s="417"/>
      <c r="G274" s="417"/>
      <c r="H274" s="417"/>
      <c r="I274" s="417"/>
      <c r="J274" s="417">
        <f>SUM(J275:J277)</f>
        <v>186.20000000000002</v>
      </c>
      <c r="K274" s="418"/>
      <c r="O274" s="11"/>
    </row>
    <row r="275" spans="1:17" s="111" customFormat="1">
      <c r="A275" s="415"/>
      <c r="B275" s="416"/>
      <c r="C275" s="386"/>
      <c r="D275" s="386"/>
      <c r="E275" s="386" t="s">
        <v>630</v>
      </c>
      <c r="F275" s="417">
        <f>(F267+G267)*2</f>
        <v>92.8</v>
      </c>
      <c r="G275" s="417"/>
      <c r="H275" s="417"/>
      <c r="I275" s="417">
        <v>1</v>
      </c>
      <c r="J275" s="417">
        <f t="shared" ref="J275:J277" si="24">I275*F275</f>
        <v>92.8</v>
      </c>
      <c r="K275" s="418"/>
      <c r="O275" s="11"/>
    </row>
    <row r="276" spans="1:17" s="111" customFormat="1">
      <c r="A276" s="415"/>
      <c r="B276" s="416"/>
      <c r="C276" s="386"/>
      <c r="D276" s="386"/>
      <c r="E276" s="386" t="s">
        <v>903</v>
      </c>
      <c r="F276" s="417">
        <f>(27.15+1.1*2)*2+10.15*2</f>
        <v>79</v>
      </c>
      <c r="G276" s="417"/>
      <c r="H276" s="417"/>
      <c r="I276" s="417">
        <v>1</v>
      </c>
      <c r="J276" s="417">
        <f t="shared" si="24"/>
        <v>79</v>
      </c>
      <c r="K276" s="418"/>
      <c r="O276" s="11"/>
    </row>
    <row r="277" spans="1:17" s="111" customFormat="1">
      <c r="A277" s="415"/>
      <c r="B277" s="416"/>
      <c r="C277" s="386"/>
      <c r="D277" s="386"/>
      <c r="E277" s="386" t="s">
        <v>600</v>
      </c>
      <c r="F277" s="417">
        <v>0.4</v>
      </c>
      <c r="G277" s="417"/>
      <c r="H277" s="417"/>
      <c r="I277" s="417">
        <f>2*18</f>
        <v>36</v>
      </c>
      <c r="J277" s="417">
        <f t="shared" si="24"/>
        <v>14.4</v>
      </c>
      <c r="K277" s="418"/>
      <c r="O277" s="11"/>
    </row>
    <row r="278" spans="1:17" s="111" customFormat="1">
      <c r="A278" s="415"/>
      <c r="B278" s="416"/>
      <c r="C278" s="386"/>
      <c r="D278" s="386"/>
      <c r="E278" s="386"/>
      <c r="F278" s="417"/>
      <c r="G278" s="417"/>
      <c r="H278" s="417"/>
      <c r="I278" s="417"/>
      <c r="J278" s="417"/>
      <c r="K278" s="418"/>
      <c r="O278" s="11"/>
    </row>
    <row r="279" spans="1:17" s="111" customFormat="1">
      <c r="A279" s="415"/>
      <c r="B279" s="416"/>
      <c r="C279" s="386"/>
      <c r="D279" s="386"/>
      <c r="E279" s="386"/>
      <c r="F279" s="417"/>
      <c r="G279" s="417"/>
      <c r="H279" s="417"/>
      <c r="I279" s="417"/>
      <c r="J279" s="417"/>
      <c r="K279" s="418"/>
      <c r="O279" s="11"/>
    </row>
    <row r="280" spans="1:17">
      <c r="A280" s="362" t="s">
        <v>471</v>
      </c>
      <c r="B280" s="363"/>
      <c r="C280" s="399" t="s">
        <v>472</v>
      </c>
      <c r="D280" s="386"/>
      <c r="E280" s="386"/>
      <c r="F280" s="347"/>
      <c r="G280" s="347"/>
      <c r="H280" s="347"/>
      <c r="I280" s="347"/>
      <c r="J280" s="347"/>
      <c r="K280" s="364"/>
      <c r="L280" s="111"/>
      <c r="N280" s="111"/>
      <c r="P280" s="111"/>
      <c r="Q280" s="111"/>
    </row>
    <row r="281" spans="1:17">
      <c r="A281" s="345">
        <v>1</v>
      </c>
      <c r="B281" s="346"/>
      <c r="C281" s="386" t="s">
        <v>473</v>
      </c>
      <c r="D281" s="386"/>
      <c r="E281" s="386"/>
      <c r="F281" s="347"/>
      <c r="G281" s="347"/>
      <c r="H281" s="347"/>
      <c r="I281" s="347">
        <v>9</v>
      </c>
      <c r="J281" s="347">
        <f>I281</f>
        <v>9</v>
      </c>
      <c r="K281" s="364" t="s">
        <v>7</v>
      </c>
      <c r="L281" s="111"/>
      <c r="N281" s="111"/>
      <c r="P281" s="111"/>
      <c r="Q281" s="111"/>
    </row>
    <row r="282" spans="1:17">
      <c r="A282" s="345">
        <v>2</v>
      </c>
      <c r="B282" s="346"/>
      <c r="C282" s="386" t="s">
        <v>474</v>
      </c>
      <c r="D282" s="386"/>
      <c r="E282" s="386"/>
      <c r="F282" s="347"/>
      <c r="G282" s="347"/>
      <c r="H282" s="347"/>
      <c r="I282" s="347">
        <f>I281*3/2</f>
        <v>13.5</v>
      </c>
      <c r="J282" s="347">
        <f t="shared" ref="J282:J286" si="25">I282</f>
        <v>13.5</v>
      </c>
      <c r="K282" s="364" t="s">
        <v>18</v>
      </c>
      <c r="L282" s="111"/>
      <c r="N282" s="111"/>
      <c r="P282" s="111"/>
      <c r="Q282" s="111"/>
    </row>
    <row r="283" spans="1:17">
      <c r="A283" s="345">
        <v>3</v>
      </c>
      <c r="B283" s="346"/>
      <c r="C283" s="386" t="s">
        <v>475</v>
      </c>
      <c r="D283" s="386"/>
      <c r="E283" s="386"/>
      <c r="F283" s="347"/>
      <c r="G283" s="347"/>
      <c r="H283" s="347"/>
      <c r="I283" s="347">
        <f>I281</f>
        <v>9</v>
      </c>
      <c r="J283" s="347">
        <f t="shared" si="25"/>
        <v>9</v>
      </c>
      <c r="K283" s="364" t="str">
        <f>K281</f>
        <v>bh</v>
      </c>
      <c r="L283" s="111"/>
      <c r="N283" s="111"/>
      <c r="P283" s="111"/>
      <c r="Q283" s="111"/>
    </row>
    <row r="284" spans="1:17">
      <c r="A284" s="345">
        <v>4</v>
      </c>
      <c r="B284" s="346"/>
      <c r="C284" s="386" t="s">
        <v>476</v>
      </c>
      <c r="D284" s="386"/>
      <c r="E284" s="386"/>
      <c r="F284" s="347"/>
      <c r="G284" s="347"/>
      <c r="H284" s="347"/>
      <c r="I284" s="347">
        <f>I285</f>
        <v>48</v>
      </c>
      <c r="J284" s="347">
        <f t="shared" si="25"/>
        <v>48</v>
      </c>
      <c r="K284" s="364" t="str">
        <f>K282</f>
        <v>ps</v>
      </c>
      <c r="L284" s="111"/>
      <c r="N284" s="111"/>
      <c r="P284" s="111"/>
      <c r="Q284" s="111"/>
    </row>
    <row r="285" spans="1:17">
      <c r="A285" s="345">
        <v>5</v>
      </c>
      <c r="B285" s="346"/>
      <c r="C285" s="386" t="s">
        <v>477</v>
      </c>
      <c r="D285" s="386"/>
      <c r="E285" s="386"/>
      <c r="F285" s="347"/>
      <c r="G285" s="347"/>
      <c r="H285" s="347"/>
      <c r="I285" s="347">
        <f>(3*12)+2*5+2</f>
        <v>48</v>
      </c>
      <c r="J285" s="347">
        <f t="shared" si="25"/>
        <v>48</v>
      </c>
      <c r="K285" s="364" t="str">
        <f>K283</f>
        <v>bh</v>
      </c>
      <c r="L285" s="111"/>
      <c r="N285" s="111"/>
      <c r="P285" s="111"/>
      <c r="Q285" s="111"/>
    </row>
    <row r="286" spans="1:17">
      <c r="A286" s="345">
        <v>6</v>
      </c>
      <c r="B286" s="346"/>
      <c r="C286" s="386" t="s">
        <v>478</v>
      </c>
      <c r="D286" s="386"/>
      <c r="E286" s="386"/>
      <c r="F286" s="347"/>
      <c r="G286" s="347"/>
      <c r="H286" s="347"/>
      <c r="I286" s="347">
        <f>I285</f>
        <v>48</v>
      </c>
      <c r="J286" s="347">
        <f t="shared" si="25"/>
        <v>48</v>
      </c>
      <c r="K286" s="364" t="str">
        <f>K284</f>
        <v>ps</v>
      </c>
      <c r="L286" s="111"/>
      <c r="N286" s="111"/>
      <c r="P286" s="111"/>
      <c r="Q286" s="111"/>
    </row>
    <row r="287" spans="1:17">
      <c r="A287" s="345"/>
      <c r="B287" s="346"/>
      <c r="C287" s="386"/>
      <c r="D287" s="386"/>
      <c r="E287" s="386"/>
      <c r="F287" s="347"/>
      <c r="G287" s="347"/>
      <c r="H287" s="347"/>
      <c r="I287" s="347"/>
      <c r="J287" s="347"/>
      <c r="K287" s="364"/>
      <c r="L287" s="111"/>
      <c r="N287" s="111"/>
      <c r="P287" s="111"/>
      <c r="Q287" s="111"/>
    </row>
    <row r="288" spans="1:17">
      <c r="A288" s="362" t="s">
        <v>479</v>
      </c>
      <c r="B288" s="363"/>
      <c r="C288" s="399" t="s">
        <v>480</v>
      </c>
      <c r="D288" s="386"/>
      <c r="E288" s="386"/>
      <c r="F288" s="347"/>
      <c r="G288" s="347"/>
      <c r="H288" s="347"/>
      <c r="I288" s="347"/>
      <c r="J288" s="347"/>
      <c r="K288" s="364"/>
      <c r="L288" s="111"/>
      <c r="N288" s="111"/>
      <c r="P288" s="111"/>
      <c r="Q288" s="111"/>
    </row>
    <row r="289" spans="1:17">
      <c r="A289" s="345">
        <v>1</v>
      </c>
      <c r="B289" s="346"/>
      <c r="C289" s="386" t="s">
        <v>968</v>
      </c>
      <c r="D289" s="386"/>
      <c r="E289" s="386"/>
      <c r="F289" s="347"/>
      <c r="G289" s="347"/>
      <c r="H289" s="347"/>
      <c r="I289" s="347"/>
      <c r="J289" s="347">
        <f>O181-J290</f>
        <v>154.70089999999999</v>
      </c>
      <c r="K289" s="364" t="str">
        <f>K241</f>
        <v>m²</v>
      </c>
      <c r="L289" s="111"/>
      <c r="N289" s="111"/>
      <c r="P289" s="111"/>
      <c r="Q289" s="111"/>
    </row>
    <row r="290" spans="1:17" s="111" customFormat="1">
      <c r="A290" s="419"/>
      <c r="B290" s="420"/>
      <c r="C290" s="386" t="s">
        <v>969</v>
      </c>
      <c r="D290" s="421"/>
      <c r="E290" s="421"/>
      <c r="F290" s="422"/>
      <c r="G290" s="422"/>
      <c r="H290" s="422"/>
      <c r="I290" s="422"/>
      <c r="J290" s="422">
        <f>P181</f>
        <v>42.580799999999996</v>
      </c>
      <c r="K290" s="423"/>
      <c r="O290" s="11"/>
    </row>
    <row r="291" spans="1:17">
      <c r="A291" s="345">
        <v>2</v>
      </c>
      <c r="B291" s="346"/>
      <c r="C291" s="386" t="s">
        <v>481</v>
      </c>
      <c r="D291" s="386"/>
      <c r="E291" s="386"/>
      <c r="F291" s="347"/>
      <c r="G291" s="347"/>
      <c r="H291" s="347"/>
      <c r="I291" s="347"/>
      <c r="J291" s="347">
        <v>0</v>
      </c>
      <c r="K291" s="364" t="str">
        <f>K289</f>
        <v>m²</v>
      </c>
      <c r="L291" s="111"/>
      <c r="N291" s="111"/>
      <c r="P291" s="111"/>
      <c r="Q291" s="111"/>
    </row>
    <row r="292" spans="1:17" s="111" customFormat="1">
      <c r="A292" s="345">
        <v>3</v>
      </c>
      <c r="B292" s="346"/>
      <c r="C292" s="386" t="s">
        <v>918</v>
      </c>
      <c r="D292" s="386"/>
      <c r="E292" s="386"/>
      <c r="F292" s="347"/>
      <c r="G292" s="347"/>
      <c r="H292" s="347"/>
      <c r="I292" s="347"/>
      <c r="J292" s="347">
        <f>J214*2</f>
        <v>184.80199999999999</v>
      </c>
      <c r="K292" s="364">
        <f>K288</f>
        <v>0</v>
      </c>
      <c r="O292" s="11"/>
    </row>
    <row r="293" spans="1:17">
      <c r="A293" s="345">
        <v>3</v>
      </c>
      <c r="B293" s="346"/>
      <c r="C293" s="386" t="s">
        <v>809</v>
      </c>
      <c r="D293" s="386"/>
      <c r="E293" s="386"/>
      <c r="F293" s="347"/>
      <c r="G293" s="347"/>
      <c r="H293" s="347"/>
      <c r="I293" s="347"/>
      <c r="J293" s="347">
        <f>SUM(J294:J306)</f>
        <v>720.01499999999999</v>
      </c>
      <c r="K293" s="364" t="str">
        <f>K289</f>
        <v>m²</v>
      </c>
      <c r="L293" s="111"/>
      <c r="N293" s="111"/>
      <c r="P293" s="111"/>
      <c r="Q293" s="111"/>
    </row>
    <row r="294" spans="1:17" s="111" customFormat="1">
      <c r="A294" s="419"/>
      <c r="B294" s="420"/>
      <c r="C294" s="421"/>
      <c r="D294" s="421"/>
      <c r="E294" s="421"/>
      <c r="F294" s="422">
        <f>27*4+10*2+11.2*4</f>
        <v>172.8</v>
      </c>
      <c r="G294" s="422"/>
      <c r="H294" s="422">
        <v>3.65</v>
      </c>
      <c r="I294" s="422">
        <v>1</v>
      </c>
      <c r="J294" s="422">
        <f>I294*H294*F294</f>
        <v>630.72</v>
      </c>
      <c r="K294" s="423"/>
      <c r="O294" s="11"/>
    </row>
    <row r="295" spans="1:17" s="111" customFormat="1">
      <c r="A295" s="419"/>
      <c r="B295" s="420"/>
      <c r="C295" s="421"/>
      <c r="D295" s="421"/>
      <c r="E295" s="421"/>
      <c r="F295" s="422">
        <f>(0.65+0.45)*4*2</f>
        <v>8.8000000000000007</v>
      </c>
      <c r="G295" s="422"/>
      <c r="H295" s="422">
        <v>3</v>
      </c>
      <c r="I295" s="422">
        <v>1</v>
      </c>
      <c r="J295" s="422">
        <f>I295*H295*F295</f>
        <v>26.400000000000002</v>
      </c>
      <c r="K295" s="423"/>
      <c r="O295" s="11"/>
    </row>
    <row r="296" spans="1:17" s="111" customFormat="1">
      <c r="A296" s="419"/>
      <c r="B296" s="420"/>
      <c r="C296" s="421"/>
      <c r="D296" s="421"/>
      <c r="E296" s="421"/>
      <c r="F296" s="422">
        <v>10</v>
      </c>
      <c r="G296" s="422"/>
      <c r="H296" s="422">
        <f>H294+0.8</f>
        <v>4.45</v>
      </c>
      <c r="I296" s="422">
        <v>2</v>
      </c>
      <c r="J296" s="422">
        <f>I296*H296*F296</f>
        <v>89</v>
      </c>
      <c r="K296" s="423"/>
      <c r="O296" s="11"/>
    </row>
    <row r="297" spans="1:17" s="111" customFormat="1">
      <c r="A297" s="419"/>
      <c r="B297" s="420"/>
      <c r="C297" s="421"/>
      <c r="D297" s="421"/>
      <c r="E297" s="421"/>
      <c r="F297" s="422">
        <f>1.8*4+27+24+0.6*2</f>
        <v>59.400000000000006</v>
      </c>
      <c r="G297" s="422"/>
      <c r="H297" s="422">
        <f>0.9*2+0.8</f>
        <v>2.6</v>
      </c>
      <c r="I297" s="422">
        <v>1</v>
      </c>
      <c r="J297" s="422">
        <f>I297*H297*F297</f>
        <v>154.44000000000003</v>
      </c>
      <c r="K297" s="423"/>
      <c r="O297" s="11"/>
    </row>
    <row r="298" spans="1:17" s="111" customFormat="1">
      <c r="A298" s="419"/>
      <c r="B298" s="420"/>
      <c r="C298" s="421"/>
      <c r="D298" s="421"/>
      <c r="E298" s="421" t="s">
        <v>844</v>
      </c>
      <c r="F298" s="422"/>
      <c r="G298" s="422">
        <v>0.8</v>
      </c>
      <c r="H298" s="422">
        <v>2</v>
      </c>
      <c r="I298" s="422">
        <f>-2*4</f>
        <v>-8</v>
      </c>
      <c r="J298" s="422">
        <f>I298*H298*G298</f>
        <v>-12.8</v>
      </c>
      <c r="K298" s="423"/>
      <c r="O298" s="11"/>
    </row>
    <row r="299" spans="1:17" s="111" customFormat="1">
      <c r="A299" s="419"/>
      <c r="B299" s="420"/>
      <c r="C299" s="421"/>
      <c r="D299" s="421"/>
      <c r="E299" s="421" t="s">
        <v>914</v>
      </c>
      <c r="F299" s="422"/>
      <c r="G299" s="422">
        <v>0.8</v>
      </c>
      <c r="H299" s="422">
        <f>2+0.8</f>
        <v>2.8</v>
      </c>
      <c r="I299" s="422">
        <f>-5*2</f>
        <v>-10</v>
      </c>
      <c r="J299" s="422">
        <f t="shared" ref="J299:J306" si="26">I299*H299*G299</f>
        <v>-22.400000000000002</v>
      </c>
      <c r="K299" s="423"/>
      <c r="O299" s="11"/>
    </row>
    <row r="300" spans="1:17" s="111" customFormat="1">
      <c r="A300" s="419"/>
      <c r="B300" s="420"/>
      <c r="C300" s="421"/>
      <c r="D300" s="421"/>
      <c r="E300" s="421"/>
      <c r="F300" s="422"/>
      <c r="G300" s="422">
        <f>0.95+0.7+0.1</f>
        <v>1.75</v>
      </c>
      <c r="H300" s="422">
        <v>1.8</v>
      </c>
      <c r="I300" s="422">
        <f>I299</f>
        <v>-10</v>
      </c>
      <c r="J300" s="422">
        <f t="shared" si="26"/>
        <v>-31.5</v>
      </c>
      <c r="K300" s="423"/>
      <c r="O300" s="11"/>
    </row>
    <row r="301" spans="1:17" s="111" customFormat="1">
      <c r="A301" s="419"/>
      <c r="B301" s="420"/>
      <c r="C301" s="421"/>
      <c r="D301" s="421"/>
      <c r="E301" s="421"/>
      <c r="F301" s="422"/>
      <c r="G301" s="422">
        <f>0.74*2+0.95+0.2</f>
        <v>2.63</v>
      </c>
      <c r="H301" s="422">
        <f>H300</f>
        <v>1.8</v>
      </c>
      <c r="I301" s="422">
        <f>-12*2</f>
        <v>-24</v>
      </c>
      <c r="J301" s="422">
        <f t="shared" si="26"/>
        <v>-113.616</v>
      </c>
      <c r="K301" s="423"/>
      <c r="O301" s="11"/>
    </row>
    <row r="302" spans="1:17" s="111" customFormat="1">
      <c r="A302" s="419"/>
      <c r="B302" s="420"/>
      <c r="C302" s="421"/>
      <c r="D302" s="421"/>
      <c r="E302" s="421" t="s">
        <v>915</v>
      </c>
      <c r="F302" s="422"/>
      <c r="G302" s="422">
        <f>0.74*2+0.95+0.2</f>
        <v>2.63</v>
      </c>
      <c r="H302" s="422">
        <v>0.75</v>
      </c>
      <c r="I302" s="422">
        <v>-2</v>
      </c>
      <c r="J302" s="422">
        <f t="shared" si="26"/>
        <v>-3.9449999999999998</v>
      </c>
      <c r="K302" s="423"/>
      <c r="O302" s="11"/>
    </row>
    <row r="303" spans="1:17" s="111" customFormat="1">
      <c r="A303" s="419"/>
      <c r="B303" s="420"/>
      <c r="C303" s="421"/>
      <c r="D303" s="421"/>
      <c r="E303" s="421" t="s">
        <v>916</v>
      </c>
      <c r="F303" s="422"/>
      <c r="G303" s="422">
        <f>0.3</f>
        <v>0.3</v>
      </c>
      <c r="H303" s="422">
        <f>1.7</f>
        <v>1.7</v>
      </c>
      <c r="I303" s="422">
        <f>-2*2</f>
        <v>-4</v>
      </c>
      <c r="J303" s="422">
        <f t="shared" si="26"/>
        <v>-2.04</v>
      </c>
      <c r="K303" s="423"/>
      <c r="O303" s="11"/>
    </row>
    <row r="304" spans="1:17" s="111" customFormat="1">
      <c r="A304" s="419"/>
      <c r="B304" s="420"/>
      <c r="C304" s="421"/>
      <c r="D304" s="421"/>
      <c r="E304" s="421"/>
      <c r="F304" s="422"/>
      <c r="G304" s="422">
        <v>0.4</v>
      </c>
      <c r="H304" s="422">
        <f>H303</f>
        <v>1.7</v>
      </c>
      <c r="I304" s="422">
        <f>-4*2</f>
        <v>-8</v>
      </c>
      <c r="J304" s="422">
        <f t="shared" si="26"/>
        <v>-5.44</v>
      </c>
      <c r="K304" s="423"/>
      <c r="O304" s="11"/>
    </row>
    <row r="305" spans="1:17" s="111" customFormat="1">
      <c r="A305" s="419"/>
      <c r="B305" s="420"/>
      <c r="C305" s="421"/>
      <c r="D305" s="421"/>
      <c r="E305" s="421" t="s">
        <v>953</v>
      </c>
      <c r="F305" s="422"/>
      <c r="G305" s="422"/>
      <c r="H305" s="422"/>
      <c r="I305" s="422"/>
      <c r="J305" s="422">
        <f>-J326</f>
        <v>-10.223999999999998</v>
      </c>
      <c r="K305" s="423"/>
      <c r="O305" s="11"/>
    </row>
    <row r="306" spans="1:17" s="111" customFormat="1">
      <c r="A306" s="419"/>
      <c r="B306" s="420"/>
      <c r="C306" s="421"/>
      <c r="D306" s="421"/>
      <c r="E306" s="421" t="s">
        <v>957</v>
      </c>
      <c r="F306" s="422"/>
      <c r="G306" s="422">
        <f>0.55*2+0.1</f>
        <v>1.2000000000000002</v>
      </c>
      <c r="H306" s="422">
        <v>3.57</v>
      </c>
      <c r="I306" s="422">
        <v>5</v>
      </c>
      <c r="J306" s="422">
        <f t="shared" si="26"/>
        <v>21.42</v>
      </c>
      <c r="K306" s="423"/>
      <c r="O306" s="11"/>
    </row>
    <row r="307" spans="1:17" s="111" customFormat="1">
      <c r="A307" s="419"/>
      <c r="B307" s="420"/>
      <c r="C307" s="421"/>
      <c r="D307" s="421"/>
      <c r="E307" s="421"/>
      <c r="F307" s="422"/>
      <c r="G307" s="422"/>
      <c r="H307" s="422"/>
      <c r="I307" s="422"/>
      <c r="J307" s="422"/>
      <c r="K307" s="423"/>
      <c r="O307" s="11"/>
    </row>
    <row r="308" spans="1:17">
      <c r="A308" s="345">
        <v>4</v>
      </c>
      <c r="B308" s="346"/>
      <c r="C308" s="386" t="s">
        <v>810</v>
      </c>
      <c r="D308" s="386"/>
      <c r="E308" s="386"/>
      <c r="F308" s="347"/>
      <c r="G308" s="347"/>
      <c r="H308" s="347"/>
      <c r="I308" s="347"/>
      <c r="J308" s="347">
        <f>J262</f>
        <v>276.98749999999995</v>
      </c>
      <c r="K308" s="364" t="str">
        <f>+K289</f>
        <v>m²</v>
      </c>
      <c r="L308" s="111"/>
      <c r="N308" s="111"/>
      <c r="P308" s="111"/>
      <c r="Q308" s="111"/>
    </row>
    <row r="309" spans="1:17">
      <c r="A309" s="345"/>
      <c r="B309" s="346"/>
      <c r="C309" s="386"/>
      <c r="D309" s="386"/>
      <c r="E309" s="386"/>
      <c r="F309" s="347"/>
      <c r="G309" s="347"/>
      <c r="H309" s="347"/>
      <c r="I309" s="347"/>
      <c r="J309" s="347"/>
      <c r="K309" s="364"/>
      <c r="L309" s="111"/>
      <c r="N309" s="111"/>
      <c r="P309" s="111"/>
      <c r="Q309" s="111"/>
    </row>
    <row r="310" spans="1:17">
      <c r="A310" s="362" t="s">
        <v>482</v>
      </c>
      <c r="B310" s="363"/>
      <c r="C310" s="399" t="s">
        <v>834</v>
      </c>
      <c r="D310" s="386"/>
      <c r="E310" s="386"/>
      <c r="F310" s="347"/>
      <c r="G310" s="347"/>
      <c r="H310" s="347"/>
      <c r="I310" s="347"/>
      <c r="J310" s="347"/>
      <c r="K310" s="364"/>
      <c r="L310" s="111"/>
      <c r="N310" s="111"/>
      <c r="P310" s="111"/>
      <c r="Q310" s="111"/>
    </row>
    <row r="311" spans="1:17">
      <c r="A311" s="345">
        <v>1</v>
      </c>
      <c r="B311" s="346"/>
      <c r="C311" s="386" t="s">
        <v>484</v>
      </c>
      <c r="D311" s="386"/>
      <c r="E311" s="386"/>
      <c r="F311" s="347"/>
      <c r="G311" s="347"/>
      <c r="H311" s="347"/>
      <c r="I311" s="347">
        <f>I318+I317</f>
        <v>41</v>
      </c>
      <c r="J311" s="347">
        <f>+J317+J318</f>
        <v>41</v>
      </c>
      <c r="K311" s="364" t="s">
        <v>8</v>
      </c>
      <c r="L311" s="111"/>
      <c r="N311" s="111"/>
      <c r="P311" s="111"/>
      <c r="Q311" s="111"/>
    </row>
    <row r="312" spans="1:17">
      <c r="A312" s="345">
        <v>2</v>
      </c>
      <c r="B312" s="346"/>
      <c r="C312" s="386" t="s">
        <v>485</v>
      </c>
      <c r="D312" s="386"/>
      <c r="E312" s="386"/>
      <c r="F312" s="347"/>
      <c r="G312" s="347"/>
      <c r="H312" s="347"/>
      <c r="I312" s="347">
        <f>9*4+1</f>
        <v>37</v>
      </c>
      <c r="J312" s="347">
        <f>I312</f>
        <v>37</v>
      </c>
      <c r="K312" s="364" t="str">
        <f>+K311</f>
        <v>ttk</v>
      </c>
      <c r="L312" s="111"/>
      <c r="N312" s="111"/>
      <c r="P312" s="111"/>
      <c r="Q312" s="111"/>
    </row>
    <row r="313" spans="1:17">
      <c r="A313" s="345">
        <v>3</v>
      </c>
      <c r="B313" s="346"/>
      <c r="C313" s="386" t="s">
        <v>811</v>
      </c>
      <c r="D313" s="386"/>
      <c r="E313" s="386"/>
      <c r="F313" s="347"/>
      <c r="G313" s="347"/>
      <c r="H313" s="347"/>
      <c r="I313" s="347">
        <v>8</v>
      </c>
      <c r="J313" s="347">
        <f>I313</f>
        <v>8</v>
      </c>
      <c r="K313" s="364" t="str">
        <f>+K312</f>
        <v>ttk</v>
      </c>
      <c r="L313" s="111"/>
      <c r="N313" s="111"/>
      <c r="P313" s="111"/>
      <c r="Q313" s="111"/>
    </row>
    <row r="314" spans="1:17">
      <c r="A314" s="345">
        <v>4</v>
      </c>
      <c r="B314" s="346"/>
      <c r="C314" s="386" t="s">
        <v>812</v>
      </c>
      <c r="D314" s="386"/>
      <c r="E314" s="386"/>
      <c r="F314" s="347"/>
      <c r="G314" s="347"/>
      <c r="H314" s="347"/>
      <c r="I314" s="347">
        <f>I312</f>
        <v>37</v>
      </c>
      <c r="J314" s="347">
        <v>4</v>
      </c>
      <c r="K314" s="364" t="str">
        <f>+K311</f>
        <v>ttk</v>
      </c>
      <c r="L314" s="111"/>
      <c r="N314" s="111"/>
      <c r="P314" s="111"/>
      <c r="Q314" s="111"/>
    </row>
    <row r="315" spans="1:17">
      <c r="A315" s="345">
        <v>5</v>
      </c>
      <c r="B315" s="346"/>
      <c r="C315" s="386" t="s">
        <v>813</v>
      </c>
      <c r="D315" s="386"/>
      <c r="E315" s="386"/>
      <c r="F315" s="347"/>
      <c r="G315" s="347"/>
      <c r="H315" s="347"/>
      <c r="I315" s="347">
        <f>I313</f>
        <v>8</v>
      </c>
      <c r="J315" s="347">
        <v>4</v>
      </c>
      <c r="K315" s="364" t="str">
        <f>+K312</f>
        <v>ttk</v>
      </c>
      <c r="L315" s="111"/>
      <c r="N315" s="111"/>
      <c r="P315" s="111"/>
      <c r="Q315" s="111"/>
    </row>
    <row r="316" spans="1:17">
      <c r="A316" s="345">
        <v>5</v>
      </c>
      <c r="B316" s="346"/>
      <c r="C316" s="386" t="s">
        <v>815</v>
      </c>
      <c r="D316" s="386"/>
      <c r="E316" s="386"/>
      <c r="F316" s="347"/>
      <c r="G316" s="347"/>
      <c r="H316" s="347">
        <v>5</v>
      </c>
      <c r="I316" s="347">
        <f>H316</f>
        <v>5</v>
      </c>
      <c r="J316" s="347">
        <f>I316</f>
        <v>5</v>
      </c>
      <c r="K316" s="364" t="str">
        <f>K315</f>
        <v>ttk</v>
      </c>
      <c r="L316" s="111"/>
      <c r="N316" s="111"/>
      <c r="P316" s="111"/>
      <c r="Q316" s="111"/>
    </row>
    <row r="317" spans="1:17">
      <c r="A317" s="345">
        <v>6</v>
      </c>
      <c r="B317" s="346"/>
      <c r="C317" s="386" t="s">
        <v>816</v>
      </c>
      <c r="D317" s="386"/>
      <c r="E317" s="386"/>
      <c r="F317" s="347"/>
      <c r="G317" s="347"/>
      <c r="H317" s="347"/>
      <c r="I317" s="347">
        <v>6</v>
      </c>
      <c r="J317" s="347">
        <f>I317</f>
        <v>6</v>
      </c>
      <c r="K317" s="364" t="str">
        <f>K316</f>
        <v>ttk</v>
      </c>
      <c r="L317" s="111"/>
      <c r="N317" s="111"/>
      <c r="P317" s="111"/>
      <c r="Q317" s="111"/>
    </row>
    <row r="318" spans="1:17">
      <c r="A318" s="345">
        <v>7</v>
      </c>
      <c r="B318" s="346"/>
      <c r="C318" s="386" t="s">
        <v>817</v>
      </c>
      <c r="D318" s="386"/>
      <c r="E318" s="386"/>
      <c r="F318" s="347"/>
      <c r="G318" s="347"/>
      <c r="H318" s="347"/>
      <c r="I318" s="347">
        <f>SUM(I319:I320)</f>
        <v>35</v>
      </c>
      <c r="J318" s="347">
        <f>SUM(J319:J320)</f>
        <v>35</v>
      </c>
      <c r="K318" s="364" t="str">
        <f>K316</f>
        <v>ttk</v>
      </c>
      <c r="L318" s="111"/>
      <c r="N318" s="111"/>
      <c r="P318" s="111"/>
      <c r="Q318" s="111"/>
    </row>
    <row r="319" spans="1:17" s="111" customFormat="1">
      <c r="A319" s="419"/>
      <c r="B319" s="420"/>
      <c r="C319" s="421"/>
      <c r="D319" s="421"/>
      <c r="E319" s="421" t="s">
        <v>936</v>
      </c>
      <c r="F319" s="422"/>
      <c r="G319" s="422"/>
      <c r="H319" s="422"/>
      <c r="I319" s="347">
        <f>4*8</f>
        <v>32</v>
      </c>
      <c r="J319" s="347">
        <f>I319</f>
        <v>32</v>
      </c>
      <c r="K319" s="423"/>
      <c r="O319" s="11"/>
    </row>
    <row r="320" spans="1:17" s="111" customFormat="1">
      <c r="A320" s="419"/>
      <c r="B320" s="420"/>
      <c r="C320" s="421"/>
      <c r="D320" s="421"/>
      <c r="E320" s="421" t="s">
        <v>613</v>
      </c>
      <c r="F320" s="422"/>
      <c r="G320" s="422"/>
      <c r="H320" s="422"/>
      <c r="I320" s="422">
        <v>3</v>
      </c>
      <c r="J320" s="422">
        <f>I320</f>
        <v>3</v>
      </c>
      <c r="K320" s="423"/>
      <c r="O320" s="11"/>
    </row>
    <row r="321" spans="1:17">
      <c r="A321" s="345">
        <v>8</v>
      </c>
      <c r="B321" s="346"/>
      <c r="C321" s="386" t="s">
        <v>818</v>
      </c>
      <c r="D321" s="386"/>
      <c r="E321" s="386"/>
      <c r="F321" s="347"/>
      <c r="G321" s="347"/>
      <c r="H321" s="347"/>
      <c r="I321" s="347">
        <v>1</v>
      </c>
      <c r="J321" s="347">
        <f t="shared" ref="J321:J322" si="27">I321</f>
        <v>1</v>
      </c>
      <c r="K321" s="364" t="s">
        <v>7</v>
      </c>
      <c r="L321" s="111"/>
      <c r="N321" s="111"/>
      <c r="P321" s="111"/>
      <c r="Q321" s="111"/>
    </row>
    <row r="322" spans="1:17">
      <c r="A322" s="345">
        <v>9</v>
      </c>
      <c r="B322" s="346"/>
      <c r="C322" s="386" t="s">
        <v>819</v>
      </c>
      <c r="D322" s="386"/>
      <c r="E322" s="386"/>
      <c r="F322" s="347"/>
      <c r="G322" s="347"/>
      <c r="H322" s="347"/>
      <c r="I322" s="347">
        <v>12</v>
      </c>
      <c r="J322" s="347">
        <f t="shared" si="27"/>
        <v>12</v>
      </c>
      <c r="K322" s="364" t="s">
        <v>7</v>
      </c>
      <c r="L322" s="111"/>
      <c r="N322" s="111"/>
      <c r="P322" s="111"/>
      <c r="Q322" s="111"/>
    </row>
    <row r="323" spans="1:17">
      <c r="A323" s="345">
        <v>18</v>
      </c>
      <c r="B323" s="346"/>
      <c r="C323" s="386" t="s">
        <v>550</v>
      </c>
      <c r="D323" s="386"/>
      <c r="E323" s="386"/>
      <c r="F323" s="347"/>
      <c r="G323" s="347"/>
      <c r="H323" s="347"/>
      <c r="I323" s="347">
        <v>2</v>
      </c>
      <c r="J323" s="347">
        <f>I323</f>
        <v>2</v>
      </c>
      <c r="K323" s="364" t="s">
        <v>835</v>
      </c>
      <c r="L323" s="111"/>
      <c r="N323" s="111"/>
      <c r="P323" s="111"/>
      <c r="Q323" s="111"/>
    </row>
    <row r="324" spans="1:17">
      <c r="A324" s="345"/>
      <c r="B324" s="346"/>
      <c r="C324" s="386"/>
      <c r="D324" s="386"/>
      <c r="E324" s="386"/>
      <c r="F324" s="347"/>
      <c r="G324" s="347"/>
      <c r="H324" s="347"/>
      <c r="I324" s="347"/>
      <c r="J324" s="347"/>
      <c r="K324" s="364"/>
      <c r="L324" s="111"/>
      <c r="N324" s="111"/>
      <c r="P324" s="111"/>
      <c r="Q324" s="111"/>
    </row>
    <row r="325" spans="1:17">
      <c r="A325" s="362" t="s">
        <v>820</v>
      </c>
      <c r="B325" s="363"/>
      <c r="C325" s="399" t="s">
        <v>487</v>
      </c>
      <c r="D325" s="386"/>
      <c r="E325" s="386"/>
      <c r="F325" s="347"/>
      <c r="G325" s="347"/>
      <c r="H325" s="347"/>
      <c r="I325" s="347"/>
      <c r="J325" s="347"/>
      <c r="K325" s="364"/>
      <c r="L325" s="111"/>
      <c r="N325" s="111"/>
      <c r="P325" s="111"/>
      <c r="Q325" s="111"/>
    </row>
    <row r="326" spans="1:17">
      <c r="A326" s="345">
        <v>2</v>
      </c>
      <c r="B326" s="346"/>
      <c r="C326" s="386" t="s">
        <v>935</v>
      </c>
      <c r="D326" s="386"/>
      <c r="E326" s="386"/>
      <c r="F326" s="347"/>
      <c r="G326" s="347"/>
      <c r="H326" s="347"/>
      <c r="I326" s="347"/>
      <c r="J326" s="422">
        <f>SUM(J327:J328)</f>
        <v>10.223999999999998</v>
      </c>
      <c r="K326" s="364" t="str">
        <f>K286</f>
        <v>ps</v>
      </c>
      <c r="L326" s="111"/>
      <c r="N326" s="111"/>
      <c r="P326" s="111"/>
      <c r="Q326" s="111"/>
    </row>
    <row r="327" spans="1:17">
      <c r="A327" s="419"/>
      <c r="B327" s="420"/>
      <c r="C327" s="421"/>
      <c r="D327" s="421"/>
      <c r="E327" s="421"/>
      <c r="F327" s="422">
        <v>2.8</v>
      </c>
      <c r="G327" s="422"/>
      <c r="H327" s="422">
        <v>3.08</v>
      </c>
      <c r="I327" s="422">
        <v>1</v>
      </c>
      <c r="J327" s="422">
        <f>I327*H327*F327</f>
        <v>8.6239999999999988</v>
      </c>
      <c r="K327" s="423"/>
    </row>
    <row r="328" spans="1:17">
      <c r="A328" s="419"/>
      <c r="B328" s="420"/>
      <c r="C328" s="421"/>
      <c r="D328" s="421"/>
      <c r="E328" s="421"/>
      <c r="F328" s="422">
        <v>2</v>
      </c>
      <c r="G328" s="422"/>
      <c r="H328" s="422">
        <v>0.8</v>
      </c>
      <c r="I328" s="422">
        <v>1</v>
      </c>
      <c r="J328" s="422">
        <f>I328*H328*F328</f>
        <v>1.6</v>
      </c>
      <c r="K328" s="423"/>
    </row>
  </sheetData>
  <mergeCells count="12">
    <mergeCell ref="A223:A224"/>
    <mergeCell ref="B223:E224"/>
    <mergeCell ref="J223:J224"/>
    <mergeCell ref="K223:K224"/>
    <mergeCell ref="A2:A3"/>
    <mergeCell ref="B2:E3"/>
    <mergeCell ref="J2:J3"/>
    <mergeCell ref="K2:K3"/>
    <mergeCell ref="A104:A105"/>
    <mergeCell ref="B104:E105"/>
    <mergeCell ref="J104:J105"/>
    <mergeCell ref="K104:K105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topLeftCell="A97" workbookViewId="0">
      <selection activeCell="E114" sqref="E114"/>
    </sheetView>
  </sheetViews>
  <sheetFormatPr defaultRowHeight="14.25"/>
  <cols>
    <col min="2" max="2" width="2.25" customWidth="1"/>
    <col min="4" max="4" width="3" customWidth="1"/>
    <col min="5" max="5" width="22.375" customWidth="1"/>
    <col min="8" max="20" width="7.375" customWidth="1"/>
  </cols>
  <sheetData>
    <row r="1" spans="1:20" ht="18.75">
      <c r="A1" s="1912" t="s">
        <v>987</v>
      </c>
      <c r="B1" s="1912"/>
      <c r="C1" s="1912"/>
      <c r="D1" s="1912"/>
      <c r="E1" s="1912"/>
      <c r="F1" s="1912"/>
      <c r="G1" s="1912"/>
      <c r="H1" s="1912"/>
      <c r="I1" s="1912"/>
      <c r="J1" s="1912"/>
      <c r="K1" s="1912"/>
      <c r="L1" s="1912"/>
      <c r="M1" s="1912"/>
      <c r="N1" s="1912"/>
      <c r="O1" s="1912"/>
      <c r="P1" s="1912"/>
      <c r="Q1" s="1912"/>
      <c r="R1" s="1912"/>
      <c r="S1" s="1912"/>
      <c r="T1" s="1912"/>
    </row>
    <row r="2" spans="1:20">
      <c r="A2" s="507"/>
      <c r="B2" s="508"/>
      <c r="C2" s="508"/>
      <c r="D2" s="508"/>
      <c r="E2" s="508"/>
      <c r="F2" s="508"/>
      <c r="G2" s="508"/>
    </row>
    <row r="3" spans="1:20">
      <c r="A3" s="509" t="s">
        <v>409</v>
      </c>
      <c r="B3" s="510"/>
      <c r="C3" s="510"/>
      <c r="D3" s="510" t="s">
        <v>410</v>
      </c>
      <c r="E3" s="510" t="s">
        <v>646</v>
      </c>
      <c r="F3" s="508"/>
      <c r="G3" s="508"/>
    </row>
    <row r="4" spans="1:20">
      <c r="A4" s="509" t="s">
        <v>411</v>
      </c>
      <c r="B4" s="510"/>
      <c r="C4" s="510"/>
      <c r="D4" s="510" t="s">
        <v>410</v>
      </c>
      <c r="E4" s="510" t="s">
        <v>836</v>
      </c>
      <c r="F4" s="508"/>
      <c r="G4" s="508"/>
    </row>
    <row r="5" spans="1:20">
      <c r="A5" s="509" t="s">
        <v>647</v>
      </c>
      <c r="B5" s="510"/>
      <c r="C5" s="510"/>
      <c r="D5" s="510" t="s">
        <v>410</v>
      </c>
      <c r="E5" s="510" t="s">
        <v>837</v>
      </c>
      <c r="F5" s="508"/>
      <c r="G5" s="508"/>
    </row>
    <row r="6" spans="1:20">
      <c r="A6" s="509" t="s">
        <v>783</v>
      </c>
      <c r="B6" s="510"/>
      <c r="C6" s="510"/>
      <c r="D6" s="510" t="s">
        <v>410</v>
      </c>
      <c r="E6" s="509">
        <v>2025</v>
      </c>
      <c r="F6" s="508"/>
      <c r="G6" s="508"/>
    </row>
    <row r="7" spans="1:20" ht="15" thickBot="1">
      <c r="A7" s="507"/>
      <c r="B7" s="508"/>
      <c r="C7" s="508"/>
      <c r="D7" s="508"/>
      <c r="E7" s="508"/>
      <c r="F7" s="1913"/>
      <c r="G7" s="1913"/>
    </row>
    <row r="8" spans="1:20" ht="15" thickTop="1">
      <c r="A8" s="1897" t="s">
        <v>0</v>
      </c>
      <c r="B8" s="1899" t="s">
        <v>412</v>
      </c>
      <c r="C8" s="1899"/>
      <c r="D8" s="1899"/>
      <c r="E8" s="1899"/>
      <c r="F8" s="1901" t="s">
        <v>413</v>
      </c>
      <c r="G8" s="1899" t="s">
        <v>414</v>
      </c>
      <c r="H8" s="1933" t="s">
        <v>985</v>
      </c>
      <c r="I8" s="1933"/>
      <c r="J8" s="1933"/>
      <c r="K8" s="1933"/>
      <c r="L8" s="1933" t="s">
        <v>985</v>
      </c>
      <c r="M8" s="1933"/>
      <c r="N8" s="1933"/>
      <c r="O8" s="1933"/>
      <c r="P8" s="1933" t="s">
        <v>985</v>
      </c>
      <c r="Q8" s="1933"/>
      <c r="R8" s="1933"/>
      <c r="S8" s="1933"/>
      <c r="T8" s="1934"/>
    </row>
    <row r="9" spans="1:20">
      <c r="A9" s="1898"/>
      <c r="B9" s="1900"/>
      <c r="C9" s="1900"/>
      <c r="D9" s="1900"/>
      <c r="E9" s="1900"/>
      <c r="F9" s="1902"/>
      <c r="G9" s="1900"/>
      <c r="H9" s="716" t="s">
        <v>981</v>
      </c>
      <c r="I9" s="716" t="s">
        <v>982</v>
      </c>
      <c r="J9" s="716" t="s">
        <v>983</v>
      </c>
      <c r="K9" s="716" t="s">
        <v>984</v>
      </c>
      <c r="L9" s="716" t="s">
        <v>981</v>
      </c>
      <c r="M9" s="716" t="s">
        <v>982</v>
      </c>
      <c r="N9" s="716" t="s">
        <v>983</v>
      </c>
      <c r="O9" s="716" t="s">
        <v>984</v>
      </c>
      <c r="P9" s="716" t="s">
        <v>981</v>
      </c>
      <c r="Q9" s="716" t="s">
        <v>982</v>
      </c>
      <c r="R9" s="716" t="s">
        <v>983</v>
      </c>
      <c r="S9" s="716" t="s">
        <v>984</v>
      </c>
      <c r="T9" s="717" t="s">
        <v>986</v>
      </c>
    </row>
    <row r="10" spans="1:20">
      <c r="A10" s="718"/>
      <c r="B10" s="729"/>
      <c r="C10" s="730"/>
      <c r="D10" s="730"/>
      <c r="E10" s="731"/>
      <c r="F10" s="518"/>
      <c r="G10" s="719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720"/>
    </row>
    <row r="11" spans="1:20" s="111" customFormat="1">
      <c r="A11" s="721" t="s">
        <v>416</v>
      </c>
      <c r="B11" s="522"/>
      <c r="C11" s="523" t="s">
        <v>417</v>
      </c>
      <c r="D11" s="524"/>
      <c r="E11" s="607"/>
      <c r="F11" s="447"/>
      <c r="G11" s="579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722"/>
    </row>
    <row r="12" spans="1:20" s="111" customFormat="1">
      <c r="A12" s="721">
        <v>1</v>
      </c>
      <c r="B12" s="522"/>
      <c r="C12" s="524" t="s">
        <v>418</v>
      </c>
      <c r="D12" s="524"/>
      <c r="E12" s="607"/>
      <c r="F12" s="447">
        <v>1</v>
      </c>
      <c r="G12" s="579" t="s">
        <v>283</v>
      </c>
      <c r="H12" s="744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722"/>
    </row>
    <row r="13" spans="1:20" s="111" customFormat="1">
      <c r="A13" s="721"/>
      <c r="B13" s="522"/>
      <c r="C13" s="524"/>
      <c r="D13" s="524"/>
      <c r="E13" s="607"/>
      <c r="F13" s="447"/>
      <c r="G13" s="579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722"/>
    </row>
    <row r="14" spans="1:20" s="111" customFormat="1">
      <c r="A14" s="541" t="s">
        <v>521</v>
      </c>
      <c r="B14" s="542"/>
      <c r="C14" s="543" t="s">
        <v>522</v>
      </c>
      <c r="D14" s="524"/>
      <c r="E14" s="607"/>
      <c r="F14" s="447"/>
      <c r="G14" s="579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722"/>
    </row>
    <row r="15" spans="1:20" s="111" customFormat="1">
      <c r="A15" s="544">
        <v>1</v>
      </c>
      <c r="B15" s="714"/>
      <c r="C15" s="546" t="s">
        <v>523</v>
      </c>
      <c r="D15" s="715"/>
      <c r="E15" s="732"/>
      <c r="F15" s="548">
        <v>470.64000000000004</v>
      </c>
      <c r="G15" s="549" t="s">
        <v>450</v>
      </c>
      <c r="H15" s="744"/>
      <c r="I15" s="744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722"/>
    </row>
    <row r="16" spans="1:20" s="111" customFormat="1">
      <c r="A16" s="544">
        <v>2</v>
      </c>
      <c r="B16" s="714"/>
      <c r="C16" s="546" t="s">
        <v>524</v>
      </c>
      <c r="D16" s="715"/>
      <c r="E16" s="732"/>
      <c r="F16" s="548">
        <v>283.85000000000002</v>
      </c>
      <c r="G16" s="549" t="s">
        <v>450</v>
      </c>
      <c r="H16" s="744"/>
      <c r="I16" s="744"/>
      <c r="J16" s="744"/>
      <c r="K16" s="744"/>
      <c r="L16" s="432"/>
      <c r="M16" s="432"/>
      <c r="N16" s="432"/>
      <c r="O16" s="432"/>
      <c r="P16" s="432"/>
      <c r="Q16" s="432"/>
      <c r="R16" s="432"/>
      <c r="S16" s="432"/>
      <c r="T16" s="722"/>
    </row>
    <row r="17" spans="1:20" s="111" customFormat="1">
      <c r="A17" s="544">
        <v>3</v>
      </c>
      <c r="B17" s="714"/>
      <c r="C17" s="546" t="s">
        <v>597</v>
      </c>
      <c r="D17" s="715"/>
      <c r="E17" s="732"/>
      <c r="F17" s="548">
        <v>26</v>
      </c>
      <c r="G17" s="549" t="s">
        <v>7</v>
      </c>
      <c r="H17" s="744"/>
      <c r="I17" s="744"/>
      <c r="J17" s="744"/>
      <c r="K17" s="744"/>
      <c r="L17" s="432"/>
      <c r="M17" s="432"/>
      <c r="N17" s="432"/>
      <c r="O17" s="432"/>
      <c r="P17" s="432"/>
      <c r="Q17" s="432"/>
      <c r="R17" s="432"/>
      <c r="S17" s="432"/>
      <c r="T17" s="722"/>
    </row>
    <row r="18" spans="1:20" s="111" customFormat="1">
      <c r="A18" s="544">
        <v>4</v>
      </c>
      <c r="B18" s="733"/>
      <c r="C18" s="734" t="s">
        <v>598</v>
      </c>
      <c r="D18" s="715"/>
      <c r="E18" s="732"/>
      <c r="F18" s="548">
        <v>165.04500000000002</v>
      </c>
      <c r="G18" s="549" t="s">
        <v>450</v>
      </c>
      <c r="H18" s="744"/>
      <c r="I18" s="744"/>
      <c r="J18" s="744"/>
      <c r="K18" s="744"/>
      <c r="L18" s="432"/>
      <c r="M18" s="432"/>
      <c r="N18" s="432"/>
      <c r="O18" s="432"/>
      <c r="P18" s="432"/>
      <c r="Q18" s="432"/>
      <c r="R18" s="432"/>
      <c r="S18" s="432"/>
      <c r="T18" s="722"/>
    </row>
    <row r="19" spans="1:20" s="111" customFormat="1">
      <c r="A19" s="544">
        <v>5</v>
      </c>
      <c r="B19" s="733"/>
      <c r="C19" s="734" t="s">
        <v>693</v>
      </c>
      <c r="D19" s="715"/>
      <c r="E19" s="732"/>
      <c r="F19" s="548">
        <v>8</v>
      </c>
      <c r="G19" s="549" t="s">
        <v>283</v>
      </c>
      <c r="H19" s="744"/>
      <c r="I19" s="744"/>
      <c r="J19" s="744"/>
      <c r="K19" s="744"/>
      <c r="L19" s="432"/>
      <c r="M19" s="432"/>
      <c r="N19" s="432"/>
      <c r="O19" s="432"/>
      <c r="P19" s="432"/>
      <c r="Q19" s="432"/>
      <c r="R19" s="432"/>
      <c r="S19" s="432"/>
      <c r="T19" s="722"/>
    </row>
    <row r="20" spans="1:20" s="111" customFormat="1">
      <c r="A20" s="544"/>
      <c r="B20" s="714"/>
      <c r="C20" s="546"/>
      <c r="D20" s="546"/>
      <c r="E20" s="735"/>
      <c r="F20" s="723"/>
      <c r="G20" s="549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722"/>
    </row>
    <row r="21" spans="1:20" s="111" customFormat="1">
      <c r="A21" s="544"/>
      <c r="B21" s="714"/>
      <c r="C21" s="546"/>
      <c r="D21" s="546"/>
      <c r="E21" s="735"/>
      <c r="F21" s="723"/>
      <c r="G21" s="549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722"/>
    </row>
    <row r="22" spans="1:20" s="111" customFormat="1">
      <c r="A22" s="575">
        <v>1</v>
      </c>
      <c r="B22" s="576"/>
      <c r="C22" s="577" t="s">
        <v>419</v>
      </c>
      <c r="D22" s="578"/>
      <c r="E22" s="736"/>
      <c r="F22" s="579"/>
      <c r="G22" s="579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722"/>
    </row>
    <row r="23" spans="1:20" s="111" customFormat="1">
      <c r="A23" s="580">
        <v>1</v>
      </c>
      <c r="B23" s="576"/>
      <c r="C23" s="581" t="s">
        <v>420</v>
      </c>
      <c r="D23" s="578"/>
      <c r="E23" s="736"/>
      <c r="F23" s="579"/>
      <c r="G23" s="579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722"/>
    </row>
    <row r="24" spans="1:20" s="111" customFormat="1">
      <c r="A24" s="580"/>
      <c r="B24" s="576"/>
      <c r="C24" s="581"/>
      <c r="D24" s="582" t="s">
        <v>421</v>
      </c>
      <c r="E24" s="737" t="s">
        <v>787</v>
      </c>
      <c r="F24" s="447">
        <v>1</v>
      </c>
      <c r="G24" s="584" t="s">
        <v>32</v>
      </c>
      <c r="H24" s="744"/>
      <c r="I24" s="744"/>
      <c r="J24" s="744"/>
      <c r="K24" s="744"/>
      <c r="L24" s="744"/>
      <c r="M24" s="744"/>
      <c r="N24" s="744"/>
      <c r="O24" s="744"/>
      <c r="P24" s="744"/>
      <c r="Q24" s="744"/>
      <c r="R24" s="744"/>
      <c r="S24" s="744"/>
      <c r="T24" s="745"/>
    </row>
    <row r="25" spans="1:20" s="111" customFormat="1">
      <c r="A25" s="580">
        <v>2</v>
      </c>
      <c r="B25" s="576"/>
      <c r="C25" s="586" t="s">
        <v>423</v>
      </c>
      <c r="D25" s="587"/>
      <c r="E25" s="738"/>
      <c r="F25" s="589"/>
      <c r="G25" s="584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722"/>
    </row>
    <row r="26" spans="1:20" s="111" customFormat="1">
      <c r="A26" s="580"/>
      <c r="B26" s="576"/>
      <c r="C26" s="586"/>
      <c r="D26" s="587" t="s">
        <v>421</v>
      </c>
      <c r="E26" s="739" t="s">
        <v>424</v>
      </c>
      <c r="F26" s="447">
        <v>1</v>
      </c>
      <c r="G26" s="592" t="s">
        <v>425</v>
      </c>
      <c r="H26" s="744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722"/>
    </row>
    <row r="27" spans="1:20" s="111" customFormat="1">
      <c r="A27" s="580">
        <v>3</v>
      </c>
      <c r="B27" s="576"/>
      <c r="C27" s="586" t="s">
        <v>426</v>
      </c>
      <c r="D27" s="587"/>
      <c r="E27" s="738"/>
      <c r="F27" s="593"/>
      <c r="G27" s="592"/>
      <c r="H27" s="432"/>
      <c r="I27" s="432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722"/>
    </row>
    <row r="28" spans="1:20" s="111" customFormat="1">
      <c r="A28" s="580"/>
      <c r="B28" s="576"/>
      <c r="C28" s="586"/>
      <c r="D28" s="587" t="s">
        <v>421</v>
      </c>
      <c r="E28" s="739" t="s">
        <v>427</v>
      </c>
      <c r="F28" s="447">
        <v>12</v>
      </c>
      <c r="G28" s="592" t="s">
        <v>7</v>
      </c>
      <c r="H28" s="744"/>
      <c r="I28" s="744"/>
      <c r="J28" s="744"/>
      <c r="K28" s="744"/>
      <c r="L28" s="744"/>
      <c r="M28" s="744"/>
      <c r="N28" s="744"/>
      <c r="O28" s="744"/>
      <c r="P28" s="744"/>
      <c r="Q28" s="744"/>
      <c r="R28" s="744"/>
      <c r="S28" s="744"/>
      <c r="T28" s="745"/>
    </row>
    <row r="29" spans="1:20" s="111" customFormat="1">
      <c r="A29" s="580"/>
      <c r="B29" s="576"/>
      <c r="C29" s="586"/>
      <c r="D29" s="587" t="s">
        <v>428</v>
      </c>
      <c r="E29" s="739" t="s">
        <v>788</v>
      </c>
      <c r="F29" s="447">
        <v>1</v>
      </c>
      <c r="G29" s="592" t="s">
        <v>7</v>
      </c>
      <c r="H29" s="744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5"/>
    </row>
    <row r="30" spans="1:20" s="111" customFormat="1">
      <c r="A30" s="580"/>
      <c r="B30" s="576"/>
      <c r="C30" s="586"/>
      <c r="D30" s="587" t="s">
        <v>429</v>
      </c>
      <c r="E30" s="739" t="s">
        <v>430</v>
      </c>
      <c r="F30" s="447">
        <v>2.4</v>
      </c>
      <c r="G30" s="592" t="s">
        <v>36</v>
      </c>
      <c r="H30" s="744"/>
      <c r="I30" s="744"/>
      <c r="J30" s="744"/>
      <c r="K30" s="744"/>
      <c r="L30" s="744"/>
      <c r="M30" s="744"/>
      <c r="N30" s="744"/>
      <c r="O30" s="744"/>
      <c r="P30" s="744"/>
      <c r="Q30" s="744"/>
      <c r="R30" s="744"/>
      <c r="S30" s="744"/>
      <c r="T30" s="745"/>
    </row>
    <row r="31" spans="1:20" s="111" customFormat="1">
      <c r="A31" s="580"/>
      <c r="B31" s="576"/>
      <c r="C31" s="586"/>
      <c r="D31" s="587" t="s">
        <v>431</v>
      </c>
      <c r="E31" s="739" t="s">
        <v>432</v>
      </c>
      <c r="F31" s="447">
        <v>12</v>
      </c>
      <c r="G31" s="592" t="s">
        <v>146</v>
      </c>
      <c r="H31" s="744"/>
      <c r="I31" s="744"/>
      <c r="J31" s="744"/>
      <c r="K31" s="744"/>
      <c r="L31" s="744"/>
      <c r="M31" s="744"/>
      <c r="N31" s="744"/>
      <c r="O31" s="744"/>
      <c r="P31" s="744"/>
      <c r="Q31" s="744"/>
      <c r="R31" s="744"/>
      <c r="S31" s="744"/>
      <c r="T31" s="745"/>
    </row>
    <row r="32" spans="1:20" s="111" customFormat="1">
      <c r="A32" s="580"/>
      <c r="B32" s="576"/>
      <c r="C32" s="586"/>
      <c r="D32" s="587" t="s">
        <v>433</v>
      </c>
      <c r="E32" s="739" t="s">
        <v>434</v>
      </c>
      <c r="F32" s="447">
        <v>12</v>
      </c>
      <c r="G32" s="592" t="s">
        <v>146</v>
      </c>
      <c r="H32" s="744"/>
      <c r="I32" s="744"/>
      <c r="J32" s="744"/>
      <c r="K32" s="744"/>
      <c r="L32" s="744"/>
      <c r="M32" s="744"/>
      <c r="N32" s="744"/>
      <c r="O32" s="744"/>
      <c r="P32" s="744"/>
      <c r="Q32" s="744"/>
      <c r="R32" s="744"/>
      <c r="S32" s="744"/>
      <c r="T32" s="745"/>
    </row>
    <row r="33" spans="1:20" s="111" customFormat="1">
      <c r="A33" s="580"/>
      <c r="B33" s="576"/>
      <c r="C33" s="586"/>
      <c r="D33" s="587" t="s">
        <v>435</v>
      </c>
      <c r="E33" s="739" t="s">
        <v>436</v>
      </c>
      <c r="F33" s="447">
        <v>12</v>
      </c>
      <c r="G33" s="592" t="s">
        <v>7</v>
      </c>
      <c r="H33" s="744"/>
      <c r="I33" s="744"/>
      <c r="J33" s="744"/>
      <c r="K33" s="744"/>
      <c r="L33" s="744"/>
      <c r="M33" s="744"/>
      <c r="N33" s="744"/>
      <c r="O33" s="744"/>
      <c r="P33" s="744"/>
      <c r="Q33" s="744"/>
      <c r="R33" s="744"/>
      <c r="S33" s="744"/>
      <c r="T33" s="745"/>
    </row>
    <row r="34" spans="1:20" s="111" customFormat="1">
      <c r="A34" s="580">
        <v>4</v>
      </c>
      <c r="B34" s="576"/>
      <c r="C34" s="586" t="s">
        <v>437</v>
      </c>
      <c r="D34" s="587"/>
      <c r="E34" s="738"/>
      <c r="F34" s="593"/>
      <c r="G34" s="592"/>
      <c r="H34" s="432"/>
      <c r="I34" s="432"/>
      <c r="J34" s="432"/>
      <c r="K34" s="432"/>
      <c r="L34" s="432"/>
      <c r="M34" s="432"/>
      <c r="N34" s="432"/>
      <c r="O34" s="432"/>
      <c r="P34" s="432"/>
      <c r="Q34" s="432"/>
      <c r="R34" s="432"/>
      <c r="S34" s="432"/>
      <c r="T34" s="722"/>
    </row>
    <row r="35" spans="1:20" s="111" customFormat="1">
      <c r="A35" s="580"/>
      <c r="B35" s="576"/>
      <c r="C35" s="586"/>
      <c r="D35" s="587" t="s">
        <v>421</v>
      </c>
      <c r="E35" s="739" t="s">
        <v>438</v>
      </c>
      <c r="F35" s="447">
        <v>1</v>
      </c>
      <c r="G35" s="592" t="s">
        <v>439</v>
      </c>
      <c r="H35" s="744"/>
      <c r="I35" s="744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722"/>
    </row>
    <row r="36" spans="1:20" s="111" customFormat="1">
      <c r="A36" s="580">
        <v>5</v>
      </c>
      <c r="B36" s="576"/>
      <c r="C36" s="586" t="s">
        <v>440</v>
      </c>
      <c r="D36" s="587"/>
      <c r="E36" s="738"/>
      <c r="F36" s="447"/>
      <c r="G36" s="59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722"/>
    </row>
    <row r="37" spans="1:20" s="111" customFormat="1">
      <c r="A37" s="580"/>
      <c r="B37" s="576"/>
      <c r="C37" s="586"/>
      <c r="D37" s="587" t="s">
        <v>421</v>
      </c>
      <c r="E37" s="739" t="s">
        <v>441</v>
      </c>
      <c r="F37" s="447">
        <v>0.5</v>
      </c>
      <c r="G37" s="592" t="s">
        <v>442</v>
      </c>
      <c r="H37" s="744"/>
      <c r="I37" s="744"/>
      <c r="J37" s="744"/>
      <c r="K37" s="744"/>
      <c r="L37" s="744"/>
      <c r="M37" s="744"/>
      <c r="N37" s="744"/>
      <c r="O37" s="744"/>
      <c r="P37" s="744"/>
      <c r="Q37" s="744"/>
      <c r="R37" s="744"/>
      <c r="S37" s="744"/>
      <c r="T37" s="745"/>
    </row>
    <row r="38" spans="1:20" s="111" customFormat="1">
      <c r="A38" s="580">
        <v>6</v>
      </c>
      <c r="B38" s="576"/>
      <c r="C38" s="586" t="s">
        <v>443</v>
      </c>
      <c r="D38" s="587"/>
      <c r="E38" s="738"/>
      <c r="F38" s="447">
        <v>1</v>
      </c>
      <c r="G38" s="59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722"/>
    </row>
    <row r="39" spans="1:20" s="111" customFormat="1">
      <c r="A39" s="580"/>
      <c r="B39" s="576"/>
      <c r="C39" s="586"/>
      <c r="D39" s="587" t="s">
        <v>421</v>
      </c>
      <c r="E39" s="739" t="s">
        <v>445</v>
      </c>
      <c r="F39" s="447">
        <v>1</v>
      </c>
      <c r="G39" s="592" t="s">
        <v>123</v>
      </c>
      <c r="H39" s="744"/>
      <c r="I39" s="744"/>
      <c r="J39" s="744"/>
      <c r="K39" s="744"/>
      <c r="L39" s="744"/>
      <c r="M39" s="744"/>
      <c r="N39" s="744"/>
      <c r="O39" s="744"/>
      <c r="P39" s="744"/>
      <c r="Q39" s="744"/>
      <c r="R39" s="744"/>
      <c r="S39" s="744"/>
      <c r="T39" s="745"/>
    </row>
    <row r="40" spans="1:20" s="111" customFormat="1">
      <c r="A40" s="580">
        <v>7</v>
      </c>
      <c r="B40" s="576"/>
      <c r="C40" s="586" t="s">
        <v>446</v>
      </c>
      <c r="D40" s="587"/>
      <c r="E40" s="739"/>
      <c r="F40" s="447">
        <v>3</v>
      </c>
      <c r="G40" s="592" t="s">
        <v>7</v>
      </c>
      <c r="H40" s="744"/>
      <c r="I40" s="744"/>
      <c r="J40" s="744"/>
      <c r="K40" s="744"/>
      <c r="L40" s="744"/>
      <c r="M40" s="744"/>
      <c r="N40" s="744"/>
      <c r="O40" s="744"/>
      <c r="P40" s="744"/>
      <c r="Q40" s="744"/>
      <c r="R40" s="744"/>
      <c r="S40" s="744"/>
      <c r="T40" s="745"/>
    </row>
    <row r="41" spans="1:20" s="111" customFormat="1">
      <c r="A41" s="580">
        <v>8</v>
      </c>
      <c r="B41" s="576"/>
      <c r="C41" s="586" t="s">
        <v>447</v>
      </c>
      <c r="D41" s="587"/>
      <c r="E41" s="739"/>
      <c r="F41" s="447"/>
      <c r="G41" s="592"/>
      <c r="H41" s="432"/>
      <c r="I41" s="432"/>
      <c r="J41" s="432"/>
      <c r="K41" s="432"/>
      <c r="L41" s="432"/>
      <c r="M41" s="432"/>
      <c r="N41" s="432"/>
      <c r="O41" s="432"/>
      <c r="P41" s="432"/>
      <c r="Q41" s="432"/>
      <c r="R41" s="432"/>
      <c r="S41" s="432"/>
      <c r="T41" s="722"/>
    </row>
    <row r="42" spans="1:20" s="111" customFormat="1">
      <c r="A42" s="580">
        <v>9</v>
      </c>
      <c r="B42" s="576"/>
      <c r="C42" s="586" t="s">
        <v>448</v>
      </c>
      <c r="D42" s="587"/>
      <c r="E42" s="739"/>
      <c r="F42" s="447"/>
      <c r="G42" s="59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432"/>
      <c r="T42" s="722"/>
    </row>
    <row r="43" spans="1:20" s="111" customFormat="1">
      <c r="A43" s="721"/>
      <c r="B43" s="522"/>
      <c r="C43" s="524"/>
      <c r="D43" s="524"/>
      <c r="E43" s="607"/>
      <c r="F43" s="447"/>
      <c r="G43" s="579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722"/>
    </row>
    <row r="44" spans="1:20" s="111" customFormat="1">
      <c r="A44" s="724" t="s">
        <v>262</v>
      </c>
      <c r="B44" s="606"/>
      <c r="C44" s="523" t="s">
        <v>789</v>
      </c>
      <c r="D44" s="524"/>
      <c r="E44" s="607"/>
      <c r="F44" s="447"/>
      <c r="G44" s="579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722"/>
    </row>
    <row r="45" spans="1:20" s="111" customFormat="1">
      <c r="A45" s="724" t="s">
        <v>444</v>
      </c>
      <c r="B45" s="606"/>
      <c r="C45" s="523" t="s">
        <v>790</v>
      </c>
      <c r="D45" s="524"/>
      <c r="E45" s="607"/>
      <c r="F45" s="447"/>
      <c r="G45" s="579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722"/>
    </row>
    <row r="46" spans="1:20" s="111" customFormat="1">
      <c r="A46" s="721">
        <v>1</v>
      </c>
      <c r="B46" s="522"/>
      <c r="C46" s="524" t="s">
        <v>791</v>
      </c>
      <c r="D46" s="524"/>
      <c r="E46" s="607"/>
      <c r="F46" s="447">
        <v>1.9800000000000002</v>
      </c>
      <c r="G46" s="579" t="s">
        <v>450</v>
      </c>
      <c r="H46" s="432"/>
      <c r="I46" s="432"/>
      <c r="J46" s="744"/>
      <c r="K46" s="432"/>
      <c r="L46" s="432"/>
      <c r="M46" s="432"/>
      <c r="N46" s="432"/>
      <c r="O46" s="432"/>
      <c r="P46" s="432"/>
      <c r="Q46" s="432"/>
      <c r="R46" s="432"/>
      <c r="S46" s="432"/>
      <c r="T46" s="722"/>
    </row>
    <row r="47" spans="1:20" s="111" customFormat="1">
      <c r="A47" s="721">
        <v>2</v>
      </c>
      <c r="B47" s="522"/>
      <c r="C47" s="524" t="s">
        <v>792</v>
      </c>
      <c r="D47" s="524"/>
      <c r="E47" s="607"/>
      <c r="F47" s="447">
        <v>3.9600000000000004</v>
      </c>
      <c r="G47" s="579" t="s">
        <v>450</v>
      </c>
      <c r="H47" s="432"/>
      <c r="I47" s="432"/>
      <c r="J47" s="432"/>
      <c r="K47" s="744"/>
      <c r="L47" s="432"/>
      <c r="M47" s="432"/>
      <c r="N47" s="432"/>
      <c r="O47" s="432"/>
      <c r="P47" s="432"/>
      <c r="Q47" s="432"/>
      <c r="R47" s="432"/>
      <c r="S47" s="432"/>
      <c r="T47" s="722"/>
    </row>
    <row r="48" spans="1:20" s="111" customFormat="1">
      <c r="A48" s="721">
        <v>3</v>
      </c>
      <c r="B48" s="522"/>
      <c r="C48" s="524" t="s">
        <v>793</v>
      </c>
      <c r="D48" s="524"/>
      <c r="E48" s="607"/>
      <c r="F48" s="447">
        <v>3.9600000000000004</v>
      </c>
      <c r="G48" s="584" t="s">
        <v>450</v>
      </c>
      <c r="H48" s="432"/>
      <c r="I48" s="432"/>
      <c r="J48" s="432"/>
      <c r="K48" s="744"/>
      <c r="L48" s="432"/>
      <c r="M48" s="432"/>
      <c r="N48" s="432"/>
      <c r="O48" s="432"/>
      <c r="P48" s="432"/>
      <c r="Q48" s="432"/>
      <c r="R48" s="432"/>
      <c r="S48" s="432"/>
      <c r="T48" s="722"/>
    </row>
    <row r="49" spans="1:20" s="111" customFormat="1">
      <c r="A49" s="724"/>
      <c r="B49" s="606"/>
      <c r="C49" s="523"/>
      <c r="D49" s="524"/>
      <c r="E49" s="607"/>
      <c r="F49" s="447"/>
      <c r="G49" s="579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722"/>
    </row>
    <row r="50" spans="1:20" s="111" customFormat="1">
      <c r="A50" s="724" t="s">
        <v>681</v>
      </c>
      <c r="B50" s="606"/>
      <c r="C50" s="523" t="s">
        <v>469</v>
      </c>
      <c r="D50" s="524"/>
      <c r="E50" s="607"/>
      <c r="F50" s="447"/>
      <c r="G50" s="579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722"/>
    </row>
    <row r="51" spans="1:20" s="111" customFormat="1">
      <c r="A51" s="721">
        <v>1</v>
      </c>
      <c r="B51" s="522"/>
      <c r="C51" s="524" t="s">
        <v>943</v>
      </c>
      <c r="D51" s="524"/>
      <c r="E51" s="607"/>
      <c r="F51" s="447">
        <v>27.900000000000002</v>
      </c>
      <c r="G51" s="579" t="s">
        <v>453</v>
      </c>
      <c r="H51" s="432"/>
      <c r="I51" s="432"/>
      <c r="J51" s="432"/>
      <c r="K51" s="432"/>
      <c r="L51" s="744"/>
      <c r="M51" s="744"/>
      <c r="N51" s="744"/>
      <c r="O51" s="432"/>
      <c r="P51" s="432"/>
      <c r="Q51" s="432"/>
      <c r="R51" s="432"/>
      <c r="S51" s="432"/>
      <c r="T51" s="722"/>
    </row>
    <row r="52" spans="1:20" s="111" customFormat="1">
      <c r="A52" s="721">
        <v>2</v>
      </c>
      <c r="B52" s="522"/>
      <c r="C52" s="524" t="s">
        <v>898</v>
      </c>
      <c r="D52" s="524"/>
      <c r="E52" s="607"/>
      <c r="F52" s="447">
        <v>6.3040000000000003</v>
      </c>
      <c r="G52" s="579" t="s">
        <v>450</v>
      </c>
      <c r="H52" s="432"/>
      <c r="I52" s="432"/>
      <c r="J52" s="432"/>
      <c r="K52" s="432"/>
      <c r="L52" s="432"/>
      <c r="M52" s="432"/>
      <c r="N52" s="744"/>
      <c r="O52" s="744"/>
      <c r="P52" s="744"/>
      <c r="Q52" s="432"/>
      <c r="R52" s="432"/>
      <c r="S52" s="432"/>
      <c r="T52" s="722"/>
    </row>
    <row r="53" spans="1:20" s="111" customFormat="1">
      <c r="A53" s="721">
        <v>3</v>
      </c>
      <c r="B53" s="522"/>
      <c r="C53" s="524" t="s">
        <v>795</v>
      </c>
      <c r="D53" s="524"/>
      <c r="E53" s="607"/>
      <c r="F53" s="447">
        <v>6.3040000000000003</v>
      </c>
      <c r="G53" s="579" t="s">
        <v>450</v>
      </c>
      <c r="H53" s="432"/>
      <c r="I53" s="432"/>
      <c r="J53" s="432"/>
      <c r="K53" s="432"/>
      <c r="L53" s="432"/>
      <c r="M53" s="432"/>
      <c r="N53" s="744"/>
      <c r="O53" s="744"/>
      <c r="P53" s="744"/>
      <c r="Q53" s="432"/>
      <c r="R53" s="432"/>
      <c r="S53" s="432"/>
      <c r="T53" s="722"/>
    </row>
    <row r="54" spans="1:20" s="111" customFormat="1">
      <c r="A54" s="721">
        <v>4</v>
      </c>
      <c r="B54" s="522"/>
      <c r="C54" s="524" t="s">
        <v>796</v>
      </c>
      <c r="D54" s="524"/>
      <c r="E54" s="607"/>
      <c r="F54" s="447">
        <v>2.4428000000000001</v>
      </c>
      <c r="G54" s="579" t="s">
        <v>450</v>
      </c>
      <c r="H54" s="432"/>
      <c r="I54" s="432"/>
      <c r="J54" s="432"/>
      <c r="K54" s="432"/>
      <c r="L54" s="432"/>
      <c r="M54" s="432"/>
      <c r="N54" s="744"/>
      <c r="O54" s="744"/>
      <c r="P54" s="744"/>
      <c r="Q54" s="432"/>
      <c r="R54" s="432"/>
      <c r="S54" s="432"/>
      <c r="T54" s="722"/>
    </row>
    <row r="55" spans="1:20" s="111" customFormat="1">
      <c r="A55" s="721">
        <v>5</v>
      </c>
      <c r="B55" s="522"/>
      <c r="C55" s="524" t="s">
        <v>797</v>
      </c>
      <c r="D55" s="524"/>
      <c r="E55" s="607"/>
      <c r="F55" s="447">
        <v>20.629999999999995</v>
      </c>
      <c r="G55" s="579" t="s">
        <v>450</v>
      </c>
      <c r="H55" s="432"/>
      <c r="I55" s="432"/>
      <c r="J55" s="432"/>
      <c r="K55" s="432"/>
      <c r="L55" s="432"/>
      <c r="M55" s="432"/>
      <c r="N55" s="744"/>
      <c r="O55" s="744"/>
      <c r="P55" s="744"/>
      <c r="Q55" s="432"/>
      <c r="R55" s="432"/>
      <c r="S55" s="432"/>
      <c r="T55" s="722"/>
    </row>
    <row r="56" spans="1:20" s="111" customFormat="1">
      <c r="A56" s="721">
        <v>6</v>
      </c>
      <c r="B56" s="522"/>
      <c r="C56" s="524" t="s">
        <v>922</v>
      </c>
      <c r="D56" s="524"/>
      <c r="E56" s="607"/>
      <c r="F56" s="447">
        <v>95.84</v>
      </c>
      <c r="G56" s="579" t="s">
        <v>453</v>
      </c>
      <c r="H56" s="432"/>
      <c r="I56" s="432"/>
      <c r="J56" s="432"/>
      <c r="K56" s="432"/>
      <c r="L56" s="432"/>
      <c r="M56" s="432"/>
      <c r="N56" s="744"/>
      <c r="O56" s="744"/>
      <c r="P56" s="744"/>
      <c r="Q56" s="432"/>
      <c r="R56" s="432"/>
      <c r="S56" s="432"/>
      <c r="T56" s="722"/>
    </row>
    <row r="57" spans="1:20" s="111" customFormat="1">
      <c r="A57" s="721">
        <v>7</v>
      </c>
      <c r="B57" s="522"/>
      <c r="C57" s="524" t="s">
        <v>979</v>
      </c>
      <c r="D57" s="524"/>
      <c r="E57" s="607"/>
      <c r="F57" s="447">
        <v>0</v>
      </c>
      <c r="G57" s="579" t="s">
        <v>450</v>
      </c>
      <c r="H57" s="432"/>
      <c r="I57" s="432"/>
      <c r="J57" s="744"/>
      <c r="K57" s="744"/>
      <c r="L57" s="744"/>
      <c r="M57" s="744"/>
      <c r="N57" s="432"/>
      <c r="O57" s="432"/>
      <c r="P57" s="432"/>
      <c r="Q57" s="432"/>
      <c r="R57" s="432"/>
      <c r="S57" s="432"/>
      <c r="T57" s="722"/>
    </row>
    <row r="58" spans="1:20" s="111" customFormat="1">
      <c r="A58" s="721">
        <v>8</v>
      </c>
      <c r="B58" s="522"/>
      <c r="C58" s="524" t="s">
        <v>977</v>
      </c>
      <c r="D58" s="524"/>
      <c r="E58" s="607"/>
      <c r="F58" s="447">
        <v>76.724000000000004</v>
      </c>
      <c r="G58" s="579" t="s">
        <v>450</v>
      </c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722"/>
    </row>
    <row r="59" spans="1:20" s="111" customFormat="1">
      <c r="A59" s="721"/>
      <c r="B59" s="522"/>
      <c r="C59" s="524"/>
      <c r="D59" s="524"/>
      <c r="E59" s="607"/>
      <c r="F59" s="447"/>
      <c r="G59" s="579"/>
      <c r="H59" s="432"/>
      <c r="I59" s="432"/>
      <c r="J59" s="432"/>
      <c r="K59" s="432"/>
      <c r="L59" s="432"/>
      <c r="M59" s="432"/>
      <c r="N59" s="432"/>
      <c r="O59" s="432"/>
      <c r="P59" s="432"/>
      <c r="Q59" s="432"/>
      <c r="R59" s="432"/>
      <c r="S59" s="432"/>
      <c r="T59" s="722"/>
    </row>
    <row r="60" spans="1:20" s="111" customFormat="1">
      <c r="A60" s="724" t="s">
        <v>470</v>
      </c>
      <c r="B60" s="606"/>
      <c r="C60" s="523" t="s">
        <v>799</v>
      </c>
      <c r="D60" s="524"/>
      <c r="E60" s="607"/>
      <c r="F60" s="447"/>
      <c r="G60" s="579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432"/>
      <c r="T60" s="722"/>
    </row>
    <row r="61" spans="1:20" s="111" customFormat="1">
      <c r="A61" s="721">
        <v>1</v>
      </c>
      <c r="B61" s="522"/>
      <c r="C61" s="524" t="s">
        <v>962</v>
      </c>
      <c r="D61" s="524"/>
      <c r="E61" s="607"/>
      <c r="F61" s="447">
        <v>16.574999999999999</v>
      </c>
      <c r="G61" s="579" t="s">
        <v>450</v>
      </c>
      <c r="H61" s="432"/>
      <c r="I61" s="432"/>
      <c r="J61" s="432"/>
      <c r="K61" s="432"/>
      <c r="L61" s="432"/>
      <c r="M61" s="432"/>
      <c r="N61" s="432"/>
      <c r="O61" s="432"/>
      <c r="P61" s="432"/>
      <c r="Q61" s="744"/>
      <c r="R61" s="744"/>
      <c r="S61" s="744"/>
      <c r="T61" s="722"/>
    </row>
    <row r="62" spans="1:20" s="111" customFormat="1">
      <c r="A62" s="721">
        <v>2</v>
      </c>
      <c r="B62" s="522"/>
      <c r="C62" s="524" t="s">
        <v>908</v>
      </c>
      <c r="D62" s="524"/>
      <c r="E62" s="607"/>
      <c r="F62" s="447">
        <v>15.057500000000005</v>
      </c>
      <c r="G62" s="579" t="s">
        <v>450</v>
      </c>
      <c r="H62" s="432"/>
      <c r="I62" s="432"/>
      <c r="J62" s="432"/>
      <c r="K62" s="744"/>
      <c r="L62" s="744"/>
      <c r="M62" s="744"/>
      <c r="N62" s="432"/>
      <c r="O62" s="432"/>
      <c r="P62" s="432"/>
      <c r="Q62" s="432"/>
      <c r="R62" s="432"/>
      <c r="S62" s="432"/>
      <c r="T62" s="722"/>
    </row>
    <row r="63" spans="1:20" s="111" customFormat="1">
      <c r="A63" s="721">
        <v>3</v>
      </c>
      <c r="B63" s="522"/>
      <c r="C63" s="524" t="s">
        <v>978</v>
      </c>
      <c r="D63" s="524"/>
      <c r="E63" s="607"/>
      <c r="F63" s="447">
        <v>37.6</v>
      </c>
      <c r="G63" s="579" t="s">
        <v>453</v>
      </c>
      <c r="H63" s="432"/>
      <c r="I63" s="432"/>
      <c r="J63" s="432"/>
      <c r="K63" s="432"/>
      <c r="L63" s="432"/>
      <c r="M63" s="432"/>
      <c r="N63" s="744"/>
      <c r="O63" s="744"/>
      <c r="P63" s="432"/>
      <c r="Q63" s="432"/>
      <c r="R63" s="432"/>
      <c r="S63" s="432"/>
      <c r="T63" s="722"/>
    </row>
    <row r="64" spans="1:20" s="111" customFormat="1">
      <c r="A64" s="721"/>
      <c r="B64" s="522"/>
      <c r="C64" s="524"/>
      <c r="D64" s="524"/>
      <c r="E64" s="607"/>
      <c r="F64" s="447"/>
      <c r="G64" s="579"/>
      <c r="H64" s="432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T64" s="722"/>
    </row>
    <row r="65" spans="1:20" s="111" customFormat="1">
      <c r="A65" s="724" t="s">
        <v>471</v>
      </c>
      <c r="B65" s="606"/>
      <c r="C65" s="523" t="s">
        <v>806</v>
      </c>
      <c r="D65" s="524"/>
      <c r="E65" s="607"/>
      <c r="F65" s="447"/>
      <c r="G65" s="579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722"/>
    </row>
    <row r="66" spans="1:20" s="111" customFormat="1">
      <c r="A66" s="721">
        <v>1</v>
      </c>
      <c r="B66" s="522"/>
      <c r="C66" s="524" t="s">
        <v>807</v>
      </c>
      <c r="D66" s="524"/>
      <c r="E66" s="607"/>
      <c r="F66" s="447">
        <v>41.484500000000004</v>
      </c>
      <c r="G66" s="579" t="s">
        <v>450</v>
      </c>
      <c r="H66" s="432"/>
      <c r="I66" s="432"/>
      <c r="J66" s="744"/>
      <c r="K66" s="744"/>
      <c r="L66" s="744"/>
      <c r="M66" s="744"/>
      <c r="N66" s="432"/>
      <c r="O66" s="432"/>
      <c r="P66" s="432"/>
      <c r="Q66" s="432"/>
      <c r="R66" s="432"/>
      <c r="S66" s="432"/>
      <c r="T66" s="722"/>
    </row>
    <row r="67" spans="1:20" s="111" customFormat="1">
      <c r="A67" s="721">
        <v>2</v>
      </c>
      <c r="B67" s="522"/>
      <c r="C67" s="524" t="s">
        <v>833</v>
      </c>
      <c r="D67" s="524"/>
      <c r="E67" s="607"/>
      <c r="F67" s="447">
        <v>41.484500000000004</v>
      </c>
      <c r="G67" s="579" t="s">
        <v>450</v>
      </c>
      <c r="H67" s="432"/>
      <c r="I67" s="432"/>
      <c r="J67" s="432"/>
      <c r="K67" s="432"/>
      <c r="L67" s="744"/>
      <c r="M67" s="744"/>
      <c r="N67" s="744"/>
      <c r="O67" s="744"/>
      <c r="P67" s="432"/>
      <c r="Q67" s="432"/>
      <c r="R67" s="432"/>
      <c r="S67" s="432"/>
      <c r="T67" s="722"/>
    </row>
    <row r="68" spans="1:20" s="111" customFormat="1">
      <c r="A68" s="721">
        <v>3</v>
      </c>
      <c r="B68" s="522"/>
      <c r="C68" s="524" t="s">
        <v>934</v>
      </c>
      <c r="D68" s="524"/>
      <c r="E68" s="607"/>
      <c r="F68" s="447">
        <v>42.56</v>
      </c>
      <c r="G68" s="579" t="s">
        <v>20</v>
      </c>
      <c r="H68" s="432"/>
      <c r="I68" s="432"/>
      <c r="J68" s="432"/>
      <c r="K68" s="432"/>
      <c r="L68" s="432"/>
      <c r="M68" s="432"/>
      <c r="N68" s="432"/>
      <c r="O68" s="744"/>
      <c r="P68" s="744"/>
      <c r="Q68" s="432"/>
      <c r="R68" s="432"/>
      <c r="S68" s="432"/>
      <c r="T68" s="722"/>
    </row>
    <row r="69" spans="1:20" s="111" customFormat="1">
      <c r="A69" s="721"/>
      <c r="B69" s="522"/>
      <c r="C69" s="524"/>
      <c r="D69" s="524"/>
      <c r="E69" s="607"/>
      <c r="F69" s="447"/>
      <c r="G69" s="579"/>
      <c r="H69" s="432"/>
      <c r="I69" s="432"/>
      <c r="J69" s="432"/>
      <c r="K69" s="432"/>
      <c r="L69" s="432"/>
      <c r="M69" s="432"/>
      <c r="N69" s="432"/>
      <c r="O69" s="432"/>
      <c r="P69" s="432"/>
      <c r="Q69" s="432"/>
      <c r="R69" s="432"/>
      <c r="S69" s="432"/>
      <c r="T69" s="722"/>
    </row>
    <row r="70" spans="1:20" s="111" customFormat="1">
      <c r="A70" s="724" t="s">
        <v>479</v>
      </c>
      <c r="B70" s="606"/>
      <c r="C70" s="523" t="s">
        <v>472</v>
      </c>
      <c r="D70" s="524"/>
      <c r="E70" s="607"/>
      <c r="F70" s="447"/>
      <c r="G70" s="579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722"/>
    </row>
    <row r="71" spans="1:20" s="111" customFormat="1">
      <c r="A71" s="721">
        <v>1</v>
      </c>
      <c r="B71" s="522"/>
      <c r="C71" s="524" t="s">
        <v>473</v>
      </c>
      <c r="D71" s="524"/>
      <c r="E71" s="607"/>
      <c r="F71" s="447">
        <v>9</v>
      </c>
      <c r="G71" s="579" t="s">
        <v>7</v>
      </c>
      <c r="H71" s="432"/>
      <c r="I71" s="432"/>
      <c r="J71" s="432"/>
      <c r="K71" s="432"/>
      <c r="L71" s="432"/>
      <c r="M71" s="432"/>
      <c r="N71" s="432"/>
      <c r="O71" s="744"/>
      <c r="P71" s="744"/>
      <c r="Q71" s="432"/>
      <c r="R71" s="432"/>
      <c r="S71" s="432"/>
      <c r="T71" s="722"/>
    </row>
    <row r="72" spans="1:20" s="111" customFormat="1">
      <c r="A72" s="721">
        <v>2</v>
      </c>
      <c r="B72" s="522"/>
      <c r="C72" s="524" t="s">
        <v>474</v>
      </c>
      <c r="D72" s="524"/>
      <c r="E72" s="607"/>
      <c r="F72" s="447">
        <v>13.5</v>
      </c>
      <c r="G72" s="579" t="s">
        <v>18</v>
      </c>
      <c r="H72" s="432"/>
      <c r="I72" s="432"/>
      <c r="J72" s="432"/>
      <c r="K72" s="432"/>
      <c r="L72" s="432"/>
      <c r="M72" s="432"/>
      <c r="N72" s="432"/>
      <c r="O72" s="744"/>
      <c r="P72" s="744"/>
      <c r="Q72" s="432"/>
      <c r="R72" s="432"/>
      <c r="S72" s="432"/>
      <c r="T72" s="722"/>
    </row>
    <row r="73" spans="1:20" s="111" customFormat="1">
      <c r="A73" s="721">
        <v>3</v>
      </c>
      <c r="B73" s="522"/>
      <c r="C73" s="524" t="s">
        <v>475</v>
      </c>
      <c r="D73" s="524"/>
      <c r="E73" s="607"/>
      <c r="F73" s="447">
        <v>12</v>
      </c>
      <c r="G73" s="579" t="s">
        <v>7</v>
      </c>
      <c r="H73" s="432"/>
      <c r="I73" s="432"/>
      <c r="J73" s="432"/>
      <c r="K73" s="432"/>
      <c r="L73" s="432"/>
      <c r="M73" s="432"/>
      <c r="N73" s="432"/>
      <c r="O73" s="744"/>
      <c r="P73" s="744"/>
      <c r="Q73" s="432"/>
      <c r="R73" s="432"/>
      <c r="S73" s="432"/>
      <c r="T73" s="722"/>
    </row>
    <row r="74" spans="1:20" s="111" customFormat="1">
      <c r="A74" s="521">
        <v>4</v>
      </c>
      <c r="B74" s="522"/>
      <c r="C74" s="524" t="s">
        <v>476</v>
      </c>
      <c r="D74" s="524"/>
      <c r="E74" s="607"/>
      <c r="F74" s="583">
        <v>38</v>
      </c>
      <c r="G74" s="525" t="str">
        <f>G72</f>
        <v>ps</v>
      </c>
      <c r="H74" s="892"/>
      <c r="I74" s="892"/>
      <c r="J74" s="892"/>
      <c r="K74" s="892"/>
      <c r="L74" s="892"/>
      <c r="M74" s="892"/>
      <c r="N74" s="892"/>
      <c r="O74" s="893"/>
      <c r="P74" s="893"/>
      <c r="Q74" s="892"/>
      <c r="R74" s="892"/>
      <c r="S74" s="892"/>
      <c r="T74" s="722"/>
    </row>
    <row r="75" spans="1:20" s="111" customFormat="1">
      <c r="A75" s="521">
        <v>5</v>
      </c>
      <c r="B75" s="522"/>
      <c r="C75" s="524" t="s">
        <v>477</v>
      </c>
      <c r="D75" s="524"/>
      <c r="E75" s="607"/>
      <c r="F75" s="583">
        <v>38</v>
      </c>
      <c r="G75" s="525" t="str">
        <f>G73</f>
        <v>bh</v>
      </c>
      <c r="H75" s="892"/>
      <c r="I75" s="892"/>
      <c r="J75" s="892"/>
      <c r="K75" s="892"/>
      <c r="L75" s="892"/>
      <c r="M75" s="892"/>
      <c r="N75" s="892"/>
      <c r="O75" s="893"/>
      <c r="P75" s="893"/>
      <c r="Q75" s="892"/>
      <c r="R75" s="892"/>
      <c r="S75" s="892"/>
      <c r="T75" s="722"/>
    </row>
    <row r="76" spans="1:20" s="111" customFormat="1">
      <c r="A76" s="521">
        <v>6</v>
      </c>
      <c r="B76" s="522"/>
      <c r="C76" s="524" t="s">
        <v>478</v>
      </c>
      <c r="D76" s="524"/>
      <c r="E76" s="607"/>
      <c r="F76" s="583">
        <v>38</v>
      </c>
      <c r="G76" s="525" t="str">
        <f>G74</f>
        <v>ps</v>
      </c>
      <c r="H76" s="892"/>
      <c r="I76" s="892"/>
      <c r="J76" s="892"/>
      <c r="K76" s="892"/>
      <c r="L76" s="892"/>
      <c r="M76" s="892"/>
      <c r="N76" s="892"/>
      <c r="O76" s="893"/>
      <c r="P76" s="893"/>
      <c r="Q76" s="892"/>
      <c r="R76" s="892"/>
      <c r="S76" s="892"/>
      <c r="T76" s="722"/>
    </row>
    <row r="77" spans="1:20" s="111" customFormat="1">
      <c r="A77" s="721"/>
      <c r="B77" s="522"/>
      <c r="C77" s="524"/>
      <c r="D77" s="524"/>
      <c r="E77" s="607"/>
      <c r="F77" s="447"/>
      <c r="G77" s="579"/>
      <c r="H77" s="432"/>
      <c r="I77" s="432"/>
      <c r="J77" s="432"/>
      <c r="K77" s="432"/>
      <c r="L77" s="432"/>
      <c r="M77" s="432"/>
      <c r="N77" s="432"/>
      <c r="O77" s="432"/>
      <c r="P77" s="432"/>
      <c r="Q77" s="432"/>
      <c r="R77" s="432"/>
      <c r="S77" s="432"/>
      <c r="T77" s="722"/>
    </row>
    <row r="78" spans="1:20" s="111" customFormat="1">
      <c r="A78" s="724" t="s">
        <v>482</v>
      </c>
      <c r="B78" s="606"/>
      <c r="C78" s="523" t="s">
        <v>480</v>
      </c>
      <c r="D78" s="524"/>
      <c r="E78" s="607"/>
      <c r="F78" s="447"/>
      <c r="G78" s="579"/>
      <c r="H78" s="432"/>
      <c r="I78" s="432"/>
      <c r="J78" s="432"/>
      <c r="K78" s="432"/>
      <c r="L78" s="432"/>
      <c r="M78" s="432"/>
      <c r="N78" s="432"/>
      <c r="O78" s="432"/>
      <c r="P78" s="744"/>
      <c r="Q78" s="744"/>
      <c r="R78" s="744"/>
      <c r="S78" s="744"/>
      <c r="T78" s="745"/>
    </row>
    <row r="79" spans="1:20" s="111" customFormat="1">
      <c r="A79" s="721">
        <v>1</v>
      </c>
      <c r="B79" s="522"/>
      <c r="C79" s="524" t="s">
        <v>972</v>
      </c>
      <c r="D79" s="524"/>
      <c r="E79" s="607"/>
      <c r="F79" s="447">
        <v>138.11360000000002</v>
      </c>
      <c r="G79" s="579" t="s">
        <v>450</v>
      </c>
      <c r="H79" s="432"/>
      <c r="I79" s="432"/>
      <c r="J79" s="432"/>
      <c r="K79" s="432"/>
      <c r="L79" s="432"/>
      <c r="M79" s="432"/>
      <c r="N79" s="432"/>
      <c r="O79" s="432"/>
      <c r="P79" s="744"/>
      <c r="Q79" s="744"/>
      <c r="R79" s="744"/>
      <c r="S79" s="744"/>
      <c r="T79" s="745"/>
    </row>
    <row r="80" spans="1:20" s="111" customFormat="1">
      <c r="A80" s="721">
        <v>2</v>
      </c>
      <c r="B80" s="522"/>
      <c r="C80" s="524" t="s">
        <v>973</v>
      </c>
      <c r="D80" s="524"/>
      <c r="E80" s="607"/>
      <c r="F80" s="447">
        <v>78.34320000000001</v>
      </c>
      <c r="G80" s="579" t="s">
        <v>450</v>
      </c>
      <c r="H80" s="432"/>
      <c r="I80" s="432"/>
      <c r="J80" s="432"/>
      <c r="K80" s="432"/>
      <c r="L80" s="432"/>
      <c r="M80" s="432"/>
      <c r="N80" s="432"/>
      <c r="O80" s="432"/>
      <c r="P80" s="744"/>
      <c r="Q80" s="744"/>
      <c r="R80" s="744"/>
      <c r="S80" s="744"/>
      <c r="T80" s="745"/>
    </row>
    <row r="81" spans="1:20" s="111" customFormat="1">
      <c r="A81" s="721">
        <v>3</v>
      </c>
      <c r="B81" s="522"/>
      <c r="C81" s="524" t="s">
        <v>917</v>
      </c>
      <c r="D81" s="524"/>
      <c r="E81" s="607"/>
      <c r="F81" s="447">
        <v>153.44800000000001</v>
      </c>
      <c r="G81" s="579" t="s">
        <v>450</v>
      </c>
      <c r="H81" s="432"/>
      <c r="I81" s="432"/>
      <c r="J81" s="432"/>
      <c r="K81" s="432"/>
      <c r="L81" s="432"/>
      <c r="M81" s="432"/>
      <c r="N81" s="432"/>
      <c r="O81" s="432"/>
      <c r="P81" s="744"/>
      <c r="Q81" s="744"/>
      <c r="R81" s="744"/>
      <c r="S81" s="744"/>
      <c r="T81" s="745"/>
    </row>
    <row r="82" spans="1:20" s="111" customFormat="1">
      <c r="A82" s="721">
        <v>4</v>
      </c>
      <c r="B82" s="522"/>
      <c r="C82" s="524" t="s">
        <v>809</v>
      </c>
      <c r="D82" s="524"/>
      <c r="E82" s="607"/>
      <c r="F82" s="447">
        <v>746.2589999999999</v>
      </c>
      <c r="G82" s="579" t="s">
        <v>450</v>
      </c>
      <c r="H82" s="432"/>
      <c r="I82" s="432"/>
      <c r="J82" s="432"/>
      <c r="K82" s="432"/>
      <c r="L82" s="432"/>
      <c r="M82" s="432"/>
      <c r="N82" s="432"/>
      <c r="O82" s="432"/>
      <c r="P82" s="744"/>
      <c r="Q82" s="744"/>
      <c r="R82" s="744"/>
      <c r="S82" s="744"/>
      <c r="T82" s="745"/>
    </row>
    <row r="83" spans="1:20" s="111" customFormat="1">
      <c r="A83" s="721">
        <v>5</v>
      </c>
      <c r="B83" s="522"/>
      <c r="C83" s="524" t="s">
        <v>810</v>
      </c>
      <c r="D83" s="524"/>
      <c r="E83" s="607"/>
      <c r="F83" s="447">
        <v>41.484500000000004</v>
      </c>
      <c r="G83" s="579" t="s">
        <v>450</v>
      </c>
      <c r="H83" s="432"/>
      <c r="I83" s="432"/>
      <c r="J83" s="432"/>
      <c r="K83" s="432"/>
      <c r="L83" s="432"/>
      <c r="M83" s="432"/>
      <c r="N83" s="432"/>
      <c r="O83" s="432"/>
      <c r="P83" s="744"/>
      <c r="Q83" s="744"/>
      <c r="R83" s="744"/>
      <c r="S83" s="744"/>
      <c r="T83" s="745"/>
    </row>
    <row r="84" spans="1:20" s="111" customFormat="1">
      <c r="A84" s="721">
        <v>6</v>
      </c>
      <c r="B84" s="522"/>
      <c r="C84" s="524" t="s">
        <v>954</v>
      </c>
      <c r="D84" s="524"/>
      <c r="E84" s="607"/>
      <c r="F84" s="447">
        <v>564.57599999999991</v>
      </c>
      <c r="G84" s="579" t="s">
        <v>450</v>
      </c>
      <c r="H84" s="432"/>
      <c r="I84" s="432"/>
      <c r="J84" s="432"/>
      <c r="K84" s="432"/>
      <c r="L84" s="432"/>
      <c r="M84" s="432"/>
      <c r="N84" s="432"/>
      <c r="O84" s="432"/>
      <c r="P84" s="744"/>
      <c r="Q84" s="744"/>
      <c r="R84" s="744"/>
      <c r="S84" s="744"/>
      <c r="T84" s="745"/>
    </row>
    <row r="85" spans="1:20" s="111" customFormat="1">
      <c r="A85" s="721"/>
      <c r="B85" s="522"/>
      <c r="C85" s="524"/>
      <c r="D85" s="524"/>
      <c r="E85" s="607"/>
      <c r="F85" s="447"/>
      <c r="G85" s="579"/>
      <c r="H85" s="432"/>
      <c r="I85" s="432"/>
      <c r="J85" s="432"/>
      <c r="K85" s="432"/>
      <c r="L85" s="432"/>
      <c r="M85" s="432"/>
      <c r="N85" s="432"/>
      <c r="O85" s="432"/>
      <c r="P85" s="432"/>
      <c r="Q85" s="432"/>
      <c r="R85" s="432"/>
      <c r="S85" s="432"/>
      <c r="T85" s="722"/>
    </row>
    <row r="86" spans="1:20" s="111" customFormat="1">
      <c r="A86" s="724" t="s">
        <v>486</v>
      </c>
      <c r="B86" s="606"/>
      <c r="C86" s="523" t="s">
        <v>483</v>
      </c>
      <c r="D86" s="524"/>
      <c r="E86" s="607"/>
      <c r="F86" s="447"/>
      <c r="G86" s="579"/>
      <c r="H86" s="432"/>
      <c r="I86" s="432"/>
      <c r="J86" s="432"/>
      <c r="K86" s="432"/>
      <c r="L86" s="432"/>
      <c r="M86" s="432"/>
      <c r="N86" s="432"/>
      <c r="O86" s="432"/>
      <c r="P86" s="432"/>
      <c r="Q86" s="432"/>
      <c r="R86" s="432"/>
      <c r="S86" s="432"/>
      <c r="T86" s="722"/>
    </row>
    <row r="87" spans="1:20" s="111" customFormat="1">
      <c r="A87" s="721">
        <v>1</v>
      </c>
      <c r="B87" s="522"/>
      <c r="C87" s="524" t="s">
        <v>484</v>
      </c>
      <c r="D87" s="524"/>
      <c r="E87" s="607"/>
      <c r="F87" s="447">
        <v>25</v>
      </c>
      <c r="G87" s="579" t="s">
        <v>8</v>
      </c>
      <c r="H87" s="432"/>
      <c r="I87" s="432"/>
      <c r="J87" s="432"/>
      <c r="K87" s="432"/>
      <c r="L87" s="744"/>
      <c r="M87" s="744"/>
      <c r="N87" s="744"/>
      <c r="O87" s="432"/>
      <c r="P87" s="432"/>
      <c r="Q87" s="432"/>
      <c r="R87" s="432"/>
      <c r="S87" s="432"/>
      <c r="T87" s="722"/>
    </row>
    <row r="88" spans="1:20" s="111" customFormat="1">
      <c r="A88" s="721">
        <v>2</v>
      </c>
      <c r="B88" s="522"/>
      <c r="C88" s="524" t="s">
        <v>485</v>
      </c>
      <c r="D88" s="524"/>
      <c r="E88" s="607"/>
      <c r="F88" s="447">
        <v>20</v>
      </c>
      <c r="G88" s="579" t="s">
        <v>8</v>
      </c>
      <c r="H88" s="432"/>
      <c r="I88" s="432"/>
      <c r="J88" s="432"/>
      <c r="K88" s="432"/>
      <c r="L88" s="744"/>
      <c r="M88" s="744"/>
      <c r="N88" s="744"/>
      <c r="O88" s="432"/>
      <c r="P88" s="432"/>
      <c r="Q88" s="432"/>
      <c r="R88" s="432"/>
      <c r="S88" s="432"/>
      <c r="T88" s="722"/>
    </row>
    <row r="89" spans="1:20" s="111" customFormat="1">
      <c r="A89" s="721">
        <v>3</v>
      </c>
      <c r="B89" s="522"/>
      <c r="C89" s="524" t="s">
        <v>811</v>
      </c>
      <c r="D89" s="524"/>
      <c r="E89" s="607"/>
      <c r="F89" s="447">
        <v>8</v>
      </c>
      <c r="G89" s="579" t="s">
        <v>8</v>
      </c>
      <c r="H89" s="432"/>
      <c r="I89" s="432"/>
      <c r="J89" s="432"/>
      <c r="K89" s="432"/>
      <c r="L89" s="744"/>
      <c r="M89" s="744"/>
      <c r="N89" s="744"/>
      <c r="O89" s="432"/>
      <c r="P89" s="432"/>
      <c r="Q89" s="432"/>
      <c r="R89" s="432"/>
      <c r="S89" s="432"/>
      <c r="T89" s="722"/>
    </row>
    <row r="90" spans="1:20" s="111" customFormat="1">
      <c r="A90" s="721">
        <v>4</v>
      </c>
      <c r="B90" s="522"/>
      <c r="C90" s="524" t="s">
        <v>812</v>
      </c>
      <c r="D90" s="524"/>
      <c r="E90" s="607"/>
      <c r="F90" s="447">
        <v>20</v>
      </c>
      <c r="G90" s="579" t="s">
        <v>8</v>
      </c>
      <c r="H90" s="432"/>
      <c r="I90" s="432"/>
      <c r="J90" s="432"/>
      <c r="K90" s="432"/>
      <c r="L90" s="432"/>
      <c r="M90" s="432"/>
      <c r="N90" s="432"/>
      <c r="O90" s="432"/>
      <c r="P90" s="432"/>
      <c r="Q90" s="432"/>
      <c r="R90" s="744"/>
      <c r="S90" s="744"/>
      <c r="T90" s="745"/>
    </row>
    <row r="91" spans="1:20" s="111" customFormat="1">
      <c r="A91" s="721">
        <v>5</v>
      </c>
      <c r="B91" s="522"/>
      <c r="C91" s="524" t="s">
        <v>813</v>
      </c>
      <c r="D91" s="524"/>
      <c r="E91" s="607"/>
      <c r="F91" s="447">
        <v>8</v>
      </c>
      <c r="G91" s="579" t="s">
        <v>8</v>
      </c>
      <c r="H91" s="432"/>
      <c r="I91" s="432"/>
      <c r="J91" s="432"/>
      <c r="K91" s="432"/>
      <c r="L91" s="432"/>
      <c r="M91" s="432"/>
      <c r="N91" s="432"/>
      <c r="O91" s="432"/>
      <c r="P91" s="432"/>
      <c r="Q91" s="432"/>
      <c r="R91" s="744"/>
      <c r="S91" s="744"/>
      <c r="T91" s="745"/>
    </row>
    <row r="92" spans="1:20" s="111" customFormat="1">
      <c r="A92" s="721">
        <v>6</v>
      </c>
      <c r="B92" s="522"/>
      <c r="C92" s="524" t="s">
        <v>814</v>
      </c>
      <c r="D92" s="524"/>
      <c r="E92" s="607"/>
      <c r="F92" s="447">
        <v>6</v>
      </c>
      <c r="G92" s="579" t="s">
        <v>8</v>
      </c>
      <c r="H92" s="432"/>
      <c r="I92" s="432"/>
      <c r="J92" s="432"/>
      <c r="K92" s="432"/>
      <c r="L92" s="432"/>
      <c r="M92" s="432"/>
      <c r="N92" s="432"/>
      <c r="O92" s="432"/>
      <c r="P92" s="432"/>
      <c r="Q92" s="432"/>
      <c r="R92" s="744"/>
      <c r="S92" s="744"/>
      <c r="T92" s="745"/>
    </row>
    <row r="93" spans="1:20" s="111" customFormat="1">
      <c r="A93" s="721">
        <v>7</v>
      </c>
      <c r="B93" s="522"/>
      <c r="C93" s="524" t="s">
        <v>815</v>
      </c>
      <c r="D93" s="524"/>
      <c r="E93" s="607"/>
      <c r="F93" s="447">
        <v>1</v>
      </c>
      <c r="G93" s="579" t="s">
        <v>8</v>
      </c>
      <c r="H93" s="432"/>
      <c r="I93" s="432"/>
      <c r="J93" s="432"/>
      <c r="K93" s="432"/>
      <c r="L93" s="432"/>
      <c r="M93" s="432"/>
      <c r="N93" s="432"/>
      <c r="O93" s="432"/>
      <c r="P93" s="432"/>
      <c r="Q93" s="432"/>
      <c r="R93" s="744"/>
      <c r="S93" s="744"/>
      <c r="T93" s="745"/>
    </row>
    <row r="94" spans="1:20" s="111" customFormat="1">
      <c r="A94" s="721">
        <v>8</v>
      </c>
      <c r="B94" s="522"/>
      <c r="C94" s="524" t="s">
        <v>816</v>
      </c>
      <c r="D94" s="524"/>
      <c r="E94" s="607"/>
      <c r="F94" s="447">
        <v>5</v>
      </c>
      <c r="G94" s="579" t="s">
        <v>8</v>
      </c>
      <c r="H94" s="432"/>
      <c r="I94" s="432"/>
      <c r="J94" s="432"/>
      <c r="K94" s="432"/>
      <c r="L94" s="432"/>
      <c r="M94" s="432"/>
      <c r="N94" s="432"/>
      <c r="O94" s="432"/>
      <c r="P94" s="432"/>
      <c r="Q94" s="432"/>
      <c r="R94" s="744"/>
      <c r="S94" s="744"/>
      <c r="T94" s="745"/>
    </row>
    <row r="95" spans="1:20" s="111" customFormat="1">
      <c r="A95" s="721">
        <v>9</v>
      </c>
      <c r="B95" s="522"/>
      <c r="C95" s="740" t="s">
        <v>649</v>
      </c>
      <c r="D95" s="524"/>
      <c r="E95" s="607"/>
      <c r="F95" s="447">
        <v>15</v>
      </c>
      <c r="G95" s="579" t="s">
        <v>8</v>
      </c>
      <c r="H95" s="432"/>
      <c r="I95" s="432"/>
      <c r="J95" s="432"/>
      <c r="K95" s="432"/>
      <c r="L95" s="432"/>
      <c r="M95" s="432"/>
      <c r="N95" s="432"/>
      <c r="O95" s="432"/>
      <c r="P95" s="432"/>
      <c r="Q95" s="432"/>
      <c r="R95" s="744"/>
      <c r="S95" s="744"/>
      <c r="T95" s="745"/>
    </row>
    <row r="96" spans="1:20" s="111" customFormat="1">
      <c r="A96" s="721">
        <v>10</v>
      </c>
      <c r="B96" s="522"/>
      <c r="C96" s="524" t="s">
        <v>963</v>
      </c>
      <c r="D96" s="524"/>
      <c r="E96" s="607"/>
      <c r="F96" s="447">
        <v>5</v>
      </c>
      <c r="G96" s="579" t="s">
        <v>8</v>
      </c>
      <c r="H96" s="432"/>
      <c r="I96" s="432"/>
      <c r="J96" s="432"/>
      <c r="K96" s="432"/>
      <c r="L96" s="432"/>
      <c r="M96" s="432"/>
      <c r="N96" s="432"/>
      <c r="O96" s="432"/>
      <c r="P96" s="432"/>
      <c r="Q96" s="432"/>
      <c r="R96" s="744"/>
      <c r="S96" s="744"/>
      <c r="T96" s="745"/>
    </row>
    <row r="97" spans="1:20" s="111" customFormat="1">
      <c r="A97" s="721">
        <v>11</v>
      </c>
      <c r="B97" s="522"/>
      <c r="C97" s="524" t="s">
        <v>818</v>
      </c>
      <c r="D97" s="524"/>
      <c r="E97" s="607"/>
      <c r="F97" s="447">
        <v>1</v>
      </c>
      <c r="G97" s="579" t="s">
        <v>7</v>
      </c>
      <c r="H97" s="432"/>
      <c r="I97" s="432"/>
      <c r="J97" s="432"/>
      <c r="K97" s="432"/>
      <c r="L97" s="432"/>
      <c r="M97" s="744"/>
      <c r="N97" s="744"/>
      <c r="O97" s="432"/>
      <c r="P97" s="432"/>
      <c r="Q97" s="432"/>
      <c r="R97" s="432"/>
      <c r="S97" s="432"/>
      <c r="T97" s="722"/>
    </row>
    <row r="98" spans="1:20" s="111" customFormat="1">
      <c r="A98" s="721">
        <v>12</v>
      </c>
      <c r="B98" s="522"/>
      <c r="C98" s="524" t="s">
        <v>819</v>
      </c>
      <c r="D98" s="524"/>
      <c r="E98" s="607"/>
      <c r="F98" s="447">
        <v>6</v>
      </c>
      <c r="G98" s="579" t="s">
        <v>7</v>
      </c>
      <c r="H98" s="432"/>
      <c r="I98" s="432"/>
      <c r="J98" s="432"/>
      <c r="K98" s="432"/>
      <c r="L98" s="432"/>
      <c r="M98" s="432"/>
      <c r="N98" s="432"/>
      <c r="O98" s="432"/>
      <c r="P98" s="432"/>
      <c r="Q98" s="432"/>
      <c r="R98" s="432"/>
      <c r="S98" s="432"/>
      <c r="T98" s="722"/>
    </row>
    <row r="99" spans="1:20" s="111" customFormat="1">
      <c r="A99" s="721">
        <v>13</v>
      </c>
      <c r="B99" s="522"/>
      <c r="C99" s="626" t="s">
        <v>762</v>
      </c>
      <c r="D99" s="524"/>
      <c r="E99" s="607"/>
      <c r="F99" s="447">
        <v>2</v>
      </c>
      <c r="G99" s="579" t="s">
        <v>7</v>
      </c>
      <c r="H99" s="432"/>
      <c r="I99" s="432"/>
      <c r="J99" s="432"/>
      <c r="K99" s="432"/>
      <c r="L99" s="432"/>
      <c r="M99" s="432"/>
      <c r="N99" s="432"/>
      <c r="O99" s="432"/>
      <c r="P99" s="432"/>
      <c r="Q99" s="432"/>
      <c r="R99" s="744"/>
      <c r="S99" s="744"/>
      <c r="T99" s="745"/>
    </row>
    <row r="100" spans="1:20" s="111" customFormat="1">
      <c r="A100" s="721">
        <v>14</v>
      </c>
      <c r="B100" s="522"/>
      <c r="C100" s="626" t="s">
        <v>773</v>
      </c>
      <c r="D100" s="524"/>
      <c r="E100" s="607"/>
      <c r="F100" s="447">
        <v>2</v>
      </c>
      <c r="G100" s="579" t="s">
        <v>7</v>
      </c>
      <c r="H100" s="432"/>
      <c r="I100" s="432"/>
      <c r="J100" s="432"/>
      <c r="K100" s="432"/>
      <c r="L100" s="432"/>
      <c r="M100" s="432"/>
      <c r="N100" s="432"/>
      <c r="O100" s="432"/>
      <c r="P100" s="432"/>
      <c r="Q100" s="432"/>
      <c r="R100" s="744"/>
      <c r="S100" s="744"/>
      <c r="T100" s="745"/>
    </row>
    <row r="101" spans="1:20" s="111" customFormat="1">
      <c r="A101" s="721">
        <v>15</v>
      </c>
      <c r="B101" s="522"/>
      <c r="C101" s="626" t="s">
        <v>770</v>
      </c>
      <c r="D101" s="524"/>
      <c r="E101" s="607"/>
      <c r="F101" s="447">
        <v>2</v>
      </c>
      <c r="G101" s="579" t="s">
        <v>7</v>
      </c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744"/>
      <c r="S101" s="744"/>
      <c r="T101" s="745"/>
    </row>
    <row r="102" spans="1:20" s="111" customFormat="1">
      <c r="A102" s="721">
        <v>16</v>
      </c>
      <c r="B102" s="522"/>
      <c r="C102" s="626" t="s">
        <v>759</v>
      </c>
      <c r="D102" s="524"/>
      <c r="E102" s="607"/>
      <c r="F102" s="447">
        <v>2</v>
      </c>
      <c r="G102" s="579" t="s">
        <v>7</v>
      </c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744"/>
      <c r="S102" s="744"/>
      <c r="T102" s="745"/>
    </row>
    <row r="103" spans="1:20" s="111" customFormat="1">
      <c r="A103" s="721">
        <v>17</v>
      </c>
      <c r="B103" s="522"/>
      <c r="C103" s="626" t="s">
        <v>777</v>
      </c>
      <c r="D103" s="524"/>
      <c r="E103" s="607"/>
      <c r="F103" s="447">
        <v>2</v>
      </c>
      <c r="G103" s="579" t="s">
        <v>7</v>
      </c>
      <c r="H103" s="432"/>
      <c r="I103" s="432"/>
      <c r="J103" s="432"/>
      <c r="K103" s="432"/>
      <c r="L103" s="432"/>
      <c r="M103" s="432"/>
      <c r="N103" s="432"/>
      <c r="O103" s="432"/>
      <c r="P103" s="432"/>
      <c r="Q103" s="432"/>
      <c r="R103" s="744"/>
      <c r="S103" s="744"/>
      <c r="T103" s="745"/>
    </row>
    <row r="104" spans="1:20" s="111" customFormat="1">
      <c r="A104" s="721">
        <v>18</v>
      </c>
      <c r="B104" s="522"/>
      <c r="C104" s="626" t="s">
        <v>767</v>
      </c>
      <c r="D104" s="524"/>
      <c r="E104" s="607"/>
      <c r="F104" s="447">
        <v>4</v>
      </c>
      <c r="G104" s="579" t="s">
        <v>7</v>
      </c>
      <c r="H104" s="432"/>
      <c r="I104" s="432"/>
      <c r="J104" s="432"/>
      <c r="K104" s="432"/>
      <c r="L104" s="432"/>
      <c r="M104" s="432"/>
      <c r="N104" s="432"/>
      <c r="O104" s="432"/>
      <c r="P104" s="432"/>
      <c r="Q104" s="432"/>
      <c r="R104" s="744"/>
      <c r="S104" s="744"/>
      <c r="T104" s="745"/>
    </row>
    <row r="105" spans="1:20" s="111" customFormat="1">
      <c r="A105" s="721">
        <v>19</v>
      </c>
      <c r="B105" s="522"/>
      <c r="C105" s="524" t="s">
        <v>940</v>
      </c>
      <c r="D105" s="524"/>
      <c r="E105" s="607"/>
      <c r="F105" s="447">
        <v>1</v>
      </c>
      <c r="G105" s="579" t="s">
        <v>91</v>
      </c>
      <c r="H105" s="432"/>
      <c r="I105" s="432"/>
      <c r="J105" s="432"/>
      <c r="K105" s="432"/>
      <c r="L105" s="432"/>
      <c r="M105" s="432"/>
      <c r="N105" s="432"/>
      <c r="O105" s="432"/>
      <c r="P105" s="744"/>
      <c r="Q105" s="744"/>
      <c r="R105" s="744"/>
      <c r="S105" s="432"/>
      <c r="T105" s="722"/>
    </row>
    <row r="106" spans="1:20" s="111" customFormat="1">
      <c r="A106" s="721"/>
      <c r="B106" s="522"/>
      <c r="C106" s="524"/>
      <c r="D106" s="524"/>
      <c r="E106" s="607"/>
      <c r="F106" s="447"/>
      <c r="G106" s="579"/>
      <c r="H106" s="432"/>
      <c r="I106" s="432"/>
      <c r="J106" s="432"/>
      <c r="K106" s="432"/>
      <c r="L106" s="432"/>
      <c r="M106" s="432"/>
      <c r="N106" s="432"/>
      <c r="O106" s="432"/>
      <c r="P106" s="432"/>
      <c r="Q106" s="432"/>
      <c r="R106" s="432"/>
      <c r="S106" s="432"/>
      <c r="T106" s="722"/>
    </row>
    <row r="107" spans="1:20" s="111" customFormat="1">
      <c r="A107" s="724" t="s">
        <v>820</v>
      </c>
      <c r="B107" s="606"/>
      <c r="C107" s="523" t="s">
        <v>951</v>
      </c>
      <c r="D107" s="524"/>
      <c r="E107" s="607"/>
      <c r="F107" s="447"/>
      <c r="G107" s="579"/>
      <c r="H107" s="432"/>
      <c r="I107" s="432"/>
      <c r="J107" s="432"/>
      <c r="K107" s="432"/>
      <c r="L107" s="432"/>
      <c r="M107" s="432"/>
      <c r="N107" s="432"/>
      <c r="O107" s="432"/>
      <c r="P107" s="432"/>
      <c r="Q107" s="432"/>
      <c r="R107" s="432"/>
      <c r="S107" s="432"/>
      <c r="T107" s="722"/>
    </row>
    <row r="108" spans="1:20" s="111" customFormat="1">
      <c r="A108" s="721">
        <v>1</v>
      </c>
      <c r="B108" s="522"/>
      <c r="C108" s="524" t="s">
        <v>935</v>
      </c>
      <c r="D108" s="524"/>
      <c r="E108" s="607"/>
      <c r="F108" s="447">
        <v>7.6479999999999997</v>
      </c>
      <c r="G108" s="579" t="s">
        <v>450</v>
      </c>
      <c r="H108" s="432"/>
      <c r="I108" s="432"/>
      <c r="J108" s="432"/>
      <c r="K108" s="432"/>
      <c r="L108" s="432"/>
      <c r="M108" s="432"/>
      <c r="N108" s="432"/>
      <c r="O108" s="744"/>
      <c r="P108" s="744"/>
      <c r="Q108" s="744"/>
      <c r="R108" s="432"/>
      <c r="S108" s="432"/>
      <c r="T108" s="722"/>
    </row>
    <row r="109" spans="1:20" s="111" customFormat="1">
      <c r="A109" s="721"/>
      <c r="B109" s="522"/>
      <c r="C109" s="524"/>
      <c r="D109" s="524"/>
      <c r="E109" s="607"/>
      <c r="F109" s="447"/>
      <c r="G109" s="579"/>
      <c r="H109" s="432"/>
      <c r="I109" s="432"/>
      <c r="J109" s="432"/>
      <c r="K109" s="432"/>
      <c r="L109" s="432"/>
      <c r="M109" s="432"/>
      <c r="N109" s="432"/>
      <c r="O109" s="432"/>
      <c r="P109" s="432"/>
      <c r="Q109" s="432"/>
      <c r="R109" s="432"/>
      <c r="S109" s="432"/>
      <c r="T109" s="722"/>
    </row>
    <row r="110" spans="1:20" s="111" customFormat="1">
      <c r="A110" s="724" t="s">
        <v>264</v>
      </c>
      <c r="B110" s="606"/>
      <c r="C110" s="523" t="s">
        <v>821</v>
      </c>
      <c r="D110" s="524"/>
      <c r="E110" s="607"/>
      <c r="F110" s="447"/>
      <c r="G110" s="579"/>
      <c r="H110" s="432"/>
      <c r="I110" s="432"/>
      <c r="J110" s="432"/>
      <c r="K110" s="432"/>
      <c r="L110" s="432"/>
      <c r="M110" s="432"/>
      <c r="N110" s="432"/>
      <c r="O110" s="432"/>
      <c r="P110" s="432"/>
      <c r="Q110" s="432"/>
      <c r="R110" s="432"/>
      <c r="S110" s="432"/>
      <c r="T110" s="722"/>
    </row>
    <row r="111" spans="1:20" s="111" customFormat="1">
      <c r="A111" s="724" t="s">
        <v>444</v>
      </c>
      <c r="B111" s="606"/>
      <c r="C111" s="523" t="s">
        <v>790</v>
      </c>
      <c r="D111" s="524"/>
      <c r="E111" s="607"/>
      <c r="F111" s="447"/>
      <c r="G111" s="579"/>
      <c r="H111" s="432"/>
      <c r="I111" s="432"/>
      <c r="J111" s="432"/>
      <c r="K111" s="432"/>
      <c r="L111" s="432"/>
      <c r="M111" s="432"/>
      <c r="N111" s="432"/>
      <c r="O111" s="432"/>
      <c r="P111" s="432"/>
      <c r="Q111" s="432"/>
      <c r="R111" s="432"/>
      <c r="S111" s="432"/>
      <c r="T111" s="722"/>
    </row>
    <row r="112" spans="1:20" s="111" customFormat="1">
      <c r="A112" s="721">
        <v>1</v>
      </c>
      <c r="B112" s="522"/>
      <c r="C112" s="524" t="s">
        <v>791</v>
      </c>
      <c r="D112" s="524"/>
      <c r="E112" s="607"/>
      <c r="F112" s="447">
        <v>75.2</v>
      </c>
      <c r="G112" s="579" t="s">
        <v>450</v>
      </c>
      <c r="H112" s="432"/>
      <c r="I112" s="744"/>
      <c r="J112" s="432"/>
      <c r="K112" s="432"/>
      <c r="L112" s="432"/>
      <c r="M112" s="432"/>
      <c r="N112" s="432"/>
      <c r="O112" s="432"/>
      <c r="P112" s="432"/>
      <c r="Q112" s="432"/>
      <c r="R112" s="432"/>
      <c r="S112" s="432"/>
      <c r="T112" s="722"/>
    </row>
    <row r="113" spans="1:20" s="111" customFormat="1">
      <c r="A113" s="721">
        <v>2</v>
      </c>
      <c r="B113" s="522"/>
      <c r="C113" s="524" t="s">
        <v>792</v>
      </c>
      <c r="D113" s="524"/>
      <c r="E113" s="607"/>
      <c r="F113" s="447">
        <v>150.4</v>
      </c>
      <c r="G113" s="579" t="s">
        <v>450</v>
      </c>
      <c r="H113" s="432"/>
      <c r="I113" s="744"/>
      <c r="J113" s="432"/>
      <c r="K113" s="432"/>
      <c r="L113" s="432"/>
      <c r="M113" s="432"/>
      <c r="N113" s="432"/>
      <c r="O113" s="432"/>
      <c r="P113" s="432"/>
      <c r="Q113" s="432"/>
      <c r="R113" s="432"/>
      <c r="S113" s="432"/>
      <c r="T113" s="722"/>
    </row>
    <row r="114" spans="1:20" s="111" customFormat="1">
      <c r="A114" s="721"/>
      <c r="B114" s="522"/>
      <c r="C114" s="524"/>
      <c r="D114" s="524"/>
      <c r="E114" s="607"/>
      <c r="F114" s="447"/>
      <c r="G114" s="579"/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  <c r="S114" s="432"/>
      <c r="T114" s="722"/>
    </row>
    <row r="115" spans="1:20" s="111" customFormat="1">
      <c r="A115" s="629" t="s">
        <v>444</v>
      </c>
      <c r="B115" s="741"/>
      <c r="C115" s="631" t="s">
        <v>452</v>
      </c>
      <c r="D115" s="524"/>
      <c r="E115" s="607"/>
      <c r="F115" s="447"/>
      <c r="G115" s="579"/>
      <c r="H115" s="432"/>
      <c r="I115" s="432"/>
      <c r="J115" s="432"/>
      <c r="K115" s="432"/>
      <c r="L115" s="432"/>
      <c r="M115" s="432"/>
      <c r="N115" s="432"/>
      <c r="O115" s="432"/>
      <c r="P115" s="432"/>
      <c r="Q115" s="432"/>
      <c r="R115" s="432"/>
      <c r="S115" s="432"/>
      <c r="T115" s="722"/>
    </row>
    <row r="116" spans="1:20" s="111" customFormat="1">
      <c r="A116" s="544">
        <v>1</v>
      </c>
      <c r="B116" s="742"/>
      <c r="C116" s="626" t="s">
        <v>691</v>
      </c>
      <c r="D116" s="634"/>
      <c r="E116" s="743"/>
      <c r="F116" s="723">
        <v>0.32399999999999995</v>
      </c>
      <c r="G116" s="549" t="s">
        <v>422</v>
      </c>
      <c r="H116" s="432"/>
      <c r="I116" s="432"/>
      <c r="J116" s="744"/>
      <c r="K116" s="432"/>
      <c r="L116" s="432"/>
      <c r="M116" s="432"/>
      <c r="N116" s="432"/>
      <c r="O116" s="432"/>
      <c r="P116" s="432"/>
      <c r="Q116" s="432"/>
      <c r="R116" s="432"/>
      <c r="S116" s="432"/>
      <c r="T116" s="722"/>
    </row>
    <row r="117" spans="1:20" s="111" customFormat="1">
      <c r="A117" s="544"/>
      <c r="B117" s="742"/>
      <c r="C117" s="626"/>
      <c r="D117" s="634" t="s">
        <v>980</v>
      </c>
      <c r="E117" s="743"/>
      <c r="F117" s="723">
        <v>94.738285714285723</v>
      </c>
      <c r="G117" s="637" t="s">
        <v>14</v>
      </c>
      <c r="H117" s="432"/>
      <c r="I117" s="744"/>
      <c r="J117" s="744"/>
      <c r="K117" s="432"/>
      <c r="L117" s="432"/>
      <c r="M117" s="432"/>
      <c r="N117" s="432"/>
      <c r="O117" s="432"/>
      <c r="P117" s="432"/>
      <c r="Q117" s="432"/>
      <c r="R117" s="432"/>
      <c r="S117" s="432"/>
      <c r="T117" s="722"/>
    </row>
    <row r="118" spans="1:20" s="111" customFormat="1">
      <c r="A118" s="544"/>
      <c r="B118" s="742"/>
      <c r="C118" s="626"/>
      <c r="D118" s="634" t="s">
        <v>644</v>
      </c>
      <c r="E118" s="743"/>
      <c r="F118" s="723">
        <v>8.6399999999999988</v>
      </c>
      <c r="G118" s="637" t="s">
        <v>450</v>
      </c>
      <c r="H118" s="432"/>
      <c r="I118" s="744"/>
      <c r="J118" s="744"/>
      <c r="K118" s="432"/>
      <c r="L118" s="432"/>
      <c r="M118" s="432"/>
      <c r="N118" s="432"/>
      <c r="O118" s="432"/>
      <c r="P118" s="432"/>
      <c r="Q118" s="432"/>
      <c r="R118" s="432"/>
      <c r="S118" s="432"/>
      <c r="T118" s="722"/>
    </row>
    <row r="119" spans="1:20" s="111" customFormat="1">
      <c r="A119" s="544">
        <v>2</v>
      </c>
      <c r="B119" s="742"/>
      <c r="C119" s="626" t="s">
        <v>643</v>
      </c>
      <c r="D119" s="634"/>
      <c r="E119" s="743"/>
      <c r="F119" s="723">
        <v>2.82</v>
      </c>
      <c r="G119" s="549" t="s">
        <v>422</v>
      </c>
      <c r="H119" s="432"/>
      <c r="I119" s="432"/>
      <c r="J119" s="432"/>
      <c r="K119" s="744"/>
      <c r="L119" s="432"/>
      <c r="M119" s="432"/>
      <c r="N119" s="432"/>
      <c r="O119" s="432"/>
      <c r="P119" s="432"/>
      <c r="Q119" s="432"/>
      <c r="R119" s="432"/>
      <c r="S119" s="432"/>
      <c r="T119" s="722"/>
    </row>
    <row r="120" spans="1:20" s="111" customFormat="1">
      <c r="A120" s="544"/>
      <c r="B120" s="742"/>
      <c r="C120" s="626"/>
      <c r="D120" s="634" t="s">
        <v>980</v>
      </c>
      <c r="E120" s="743"/>
      <c r="F120" s="723">
        <v>482.37577142857145</v>
      </c>
      <c r="G120" s="549" t="s">
        <v>14</v>
      </c>
      <c r="H120" s="432"/>
      <c r="I120" s="432"/>
      <c r="J120" s="744"/>
      <c r="K120" s="744"/>
      <c r="L120" s="432"/>
      <c r="M120" s="432"/>
      <c r="N120" s="432"/>
      <c r="O120" s="432"/>
      <c r="P120" s="432"/>
      <c r="Q120" s="432"/>
      <c r="R120" s="432"/>
      <c r="S120" s="432"/>
      <c r="T120" s="722"/>
    </row>
    <row r="121" spans="1:20" s="111" customFormat="1">
      <c r="A121" s="544"/>
      <c r="B121" s="742"/>
      <c r="C121" s="626"/>
      <c r="D121" s="634" t="s">
        <v>644</v>
      </c>
      <c r="E121" s="743"/>
      <c r="F121" s="723">
        <v>37.6</v>
      </c>
      <c r="G121" s="549" t="s">
        <v>450</v>
      </c>
      <c r="H121" s="432"/>
      <c r="I121" s="432"/>
      <c r="J121" s="744"/>
      <c r="K121" s="744"/>
      <c r="L121" s="432"/>
      <c r="M121" s="432"/>
      <c r="N121" s="432"/>
      <c r="O121" s="432"/>
      <c r="P121" s="432"/>
      <c r="Q121" s="432"/>
      <c r="R121" s="432"/>
      <c r="S121" s="432"/>
      <c r="T121" s="722"/>
    </row>
    <row r="122" spans="1:20" s="111" customFormat="1">
      <c r="A122" s="721"/>
      <c r="B122" s="522"/>
      <c r="C122" s="524"/>
      <c r="D122" s="524"/>
      <c r="E122" s="607"/>
      <c r="F122" s="447"/>
      <c r="G122" s="579"/>
      <c r="H122" s="432"/>
      <c r="I122" s="432"/>
      <c r="J122" s="432"/>
      <c r="K122" s="432"/>
      <c r="L122" s="432"/>
      <c r="M122" s="432"/>
      <c r="N122" s="432"/>
      <c r="O122" s="432"/>
      <c r="P122" s="432"/>
      <c r="Q122" s="432"/>
      <c r="R122" s="432"/>
      <c r="S122" s="432"/>
      <c r="T122" s="722"/>
    </row>
    <row r="123" spans="1:20" s="111" customFormat="1">
      <c r="A123" s="724" t="s">
        <v>451</v>
      </c>
      <c r="B123" s="606"/>
      <c r="C123" s="523" t="s">
        <v>469</v>
      </c>
      <c r="D123" s="524"/>
      <c r="E123" s="607"/>
      <c r="F123" s="447"/>
      <c r="G123" s="579"/>
      <c r="H123" s="432"/>
      <c r="I123" s="432"/>
      <c r="J123" s="432"/>
      <c r="K123" s="432"/>
      <c r="L123" s="432"/>
      <c r="M123" s="432"/>
      <c r="N123" s="432"/>
      <c r="O123" s="432"/>
      <c r="P123" s="432"/>
      <c r="Q123" s="432"/>
      <c r="R123" s="432"/>
      <c r="S123" s="432"/>
      <c r="T123" s="722"/>
    </row>
    <row r="124" spans="1:20" s="111" customFormat="1">
      <c r="A124" s="721">
        <v>1</v>
      </c>
      <c r="B124" s="522"/>
      <c r="C124" s="524" t="s">
        <v>943</v>
      </c>
      <c r="D124" s="524"/>
      <c r="E124" s="607"/>
      <c r="F124" s="447">
        <v>19.759999999999998</v>
      </c>
      <c r="G124" s="579" t="s">
        <v>453</v>
      </c>
      <c r="H124" s="432"/>
      <c r="I124" s="432"/>
      <c r="J124" s="432"/>
      <c r="K124" s="432"/>
      <c r="L124" s="432"/>
      <c r="M124" s="432"/>
      <c r="N124" s="432"/>
      <c r="O124" s="432"/>
      <c r="P124" s="432"/>
      <c r="Q124" s="432"/>
      <c r="R124" s="432"/>
      <c r="S124" s="432"/>
      <c r="T124" s="722"/>
    </row>
    <row r="125" spans="1:20" s="111" customFormat="1">
      <c r="A125" s="721">
        <v>2</v>
      </c>
      <c r="B125" s="522"/>
      <c r="C125" s="524" t="s">
        <v>794</v>
      </c>
      <c r="D125" s="524"/>
      <c r="E125" s="607"/>
      <c r="F125" s="447">
        <v>7.9981999999999998</v>
      </c>
      <c r="G125" s="579" t="s">
        <v>450</v>
      </c>
      <c r="H125" s="432"/>
      <c r="I125" s="432"/>
      <c r="J125" s="432"/>
      <c r="K125" s="432"/>
      <c r="L125" s="432"/>
      <c r="M125" s="744"/>
      <c r="N125" s="744"/>
      <c r="O125" s="744"/>
      <c r="P125" s="432"/>
      <c r="Q125" s="432"/>
      <c r="R125" s="432"/>
      <c r="S125" s="432"/>
      <c r="T125" s="722"/>
    </row>
    <row r="126" spans="1:20" s="111" customFormat="1">
      <c r="A126" s="721">
        <v>3</v>
      </c>
      <c r="B126" s="522"/>
      <c r="C126" s="524" t="s">
        <v>795</v>
      </c>
      <c r="D126" s="524"/>
      <c r="E126" s="607"/>
      <c r="F126" s="447">
        <v>14.4992</v>
      </c>
      <c r="G126" s="579" t="s">
        <v>450</v>
      </c>
      <c r="H126" s="432"/>
      <c r="I126" s="432"/>
      <c r="J126" s="432"/>
      <c r="K126" s="432"/>
      <c r="L126" s="432"/>
      <c r="M126" s="432"/>
      <c r="N126" s="432"/>
      <c r="O126" s="432"/>
      <c r="P126" s="744"/>
      <c r="Q126" s="744"/>
      <c r="R126" s="744"/>
      <c r="S126" s="432"/>
      <c r="T126" s="722"/>
    </row>
    <row r="127" spans="1:20" s="111" customFormat="1">
      <c r="A127" s="721">
        <v>4</v>
      </c>
      <c r="B127" s="522"/>
      <c r="C127" s="524" t="s">
        <v>797</v>
      </c>
      <c r="D127" s="524"/>
      <c r="E127" s="607"/>
      <c r="F127" s="447">
        <v>22.704999999999998</v>
      </c>
      <c r="G127" s="579" t="s">
        <v>450</v>
      </c>
      <c r="H127" s="432"/>
      <c r="I127" s="432"/>
      <c r="J127" s="432"/>
      <c r="K127" s="432"/>
      <c r="L127" s="432"/>
      <c r="M127" s="432"/>
      <c r="N127" s="432"/>
      <c r="O127" s="432"/>
      <c r="P127" s="744"/>
      <c r="Q127" s="744"/>
      <c r="R127" s="744"/>
      <c r="S127" s="432"/>
      <c r="T127" s="722"/>
    </row>
    <row r="128" spans="1:20" s="111" customFormat="1">
      <c r="A128" s="721">
        <v>5</v>
      </c>
      <c r="B128" s="522"/>
      <c r="C128" s="524" t="s">
        <v>919</v>
      </c>
      <c r="D128" s="524"/>
      <c r="E128" s="607"/>
      <c r="F128" s="447">
        <v>102.19999999999999</v>
      </c>
      <c r="G128" s="579" t="s">
        <v>453</v>
      </c>
      <c r="H128" s="432"/>
      <c r="I128" s="432"/>
      <c r="J128" s="432"/>
      <c r="K128" s="432"/>
      <c r="L128" s="432"/>
      <c r="M128" s="432"/>
      <c r="N128" s="432"/>
      <c r="O128" s="432"/>
      <c r="P128" s="744"/>
      <c r="Q128" s="744"/>
      <c r="R128" s="744"/>
      <c r="S128" s="432"/>
      <c r="T128" s="722"/>
    </row>
    <row r="129" spans="1:20" s="111" customFormat="1">
      <c r="A129" s="721">
        <v>6</v>
      </c>
      <c r="B129" s="522"/>
      <c r="C129" s="524" t="s">
        <v>904</v>
      </c>
      <c r="D129" s="524"/>
      <c r="E129" s="607"/>
      <c r="F129" s="447">
        <v>0.56999999999999995</v>
      </c>
      <c r="G129" s="579" t="s">
        <v>450</v>
      </c>
      <c r="H129" s="432"/>
      <c r="I129" s="432"/>
      <c r="J129" s="432"/>
      <c r="K129" s="432"/>
      <c r="L129" s="432"/>
      <c r="M129" s="432"/>
      <c r="N129" s="432"/>
      <c r="O129" s="432"/>
      <c r="P129" s="744"/>
      <c r="Q129" s="744"/>
      <c r="R129" s="744"/>
      <c r="S129" s="432"/>
      <c r="T129" s="722"/>
    </row>
    <row r="130" spans="1:20" s="111" customFormat="1">
      <c r="A130" s="721">
        <v>7</v>
      </c>
      <c r="B130" s="522"/>
      <c r="C130" s="524" t="s">
        <v>979</v>
      </c>
      <c r="D130" s="524"/>
      <c r="E130" s="607"/>
      <c r="F130" s="447">
        <v>92.400999999999996</v>
      </c>
      <c r="G130" s="579" t="s">
        <v>450</v>
      </c>
      <c r="H130" s="432"/>
      <c r="I130" s="432"/>
      <c r="J130" s="432"/>
      <c r="K130" s="432"/>
      <c r="L130" s="432"/>
      <c r="M130" s="744"/>
      <c r="N130" s="744"/>
      <c r="O130" s="744"/>
      <c r="P130" s="432"/>
      <c r="Q130" s="432"/>
      <c r="R130" s="432"/>
      <c r="S130" s="432"/>
      <c r="T130" s="722"/>
    </row>
    <row r="131" spans="1:20" s="111" customFormat="1">
      <c r="A131" s="721"/>
      <c r="B131" s="522"/>
      <c r="C131" s="524" t="s">
        <v>977</v>
      </c>
      <c r="D131" s="524"/>
      <c r="E131" s="607"/>
      <c r="F131" s="447">
        <v>92.400999999999996</v>
      </c>
      <c r="G131" s="579" t="s">
        <v>450</v>
      </c>
      <c r="H131" s="432"/>
      <c r="I131" s="432"/>
      <c r="J131" s="432"/>
      <c r="K131" s="432"/>
      <c r="L131" s="432"/>
      <c r="M131" s="432"/>
      <c r="N131" s="744"/>
      <c r="O131" s="744"/>
      <c r="P131" s="744"/>
      <c r="Q131" s="744"/>
      <c r="R131" s="432"/>
      <c r="S131" s="432"/>
      <c r="T131" s="722"/>
    </row>
    <row r="132" spans="1:20" s="111" customFormat="1">
      <c r="A132" s="721">
        <v>8</v>
      </c>
      <c r="B132" s="522"/>
      <c r="C132" s="524" t="s">
        <v>975</v>
      </c>
      <c r="D132" s="524"/>
      <c r="E132" s="607"/>
      <c r="F132" s="447">
        <v>1</v>
      </c>
      <c r="G132" s="579" t="s">
        <v>91</v>
      </c>
      <c r="H132" s="432"/>
      <c r="I132" s="432"/>
      <c r="J132" s="432"/>
      <c r="K132" s="432"/>
      <c r="L132" s="432"/>
      <c r="M132" s="432"/>
      <c r="N132" s="432"/>
      <c r="O132" s="432"/>
      <c r="P132" s="432"/>
      <c r="Q132" s="744"/>
      <c r="R132" s="744"/>
      <c r="S132" s="432"/>
      <c r="T132" s="722"/>
    </row>
    <row r="133" spans="1:20" s="111" customFormat="1">
      <c r="A133" s="721"/>
      <c r="B133" s="522"/>
      <c r="C133" s="524"/>
      <c r="D133" s="524"/>
      <c r="E133" s="607"/>
      <c r="F133" s="447"/>
      <c r="G133" s="579"/>
      <c r="H133" s="432"/>
      <c r="I133" s="432"/>
      <c r="J133" s="432"/>
      <c r="K133" s="432"/>
      <c r="L133" s="432"/>
      <c r="M133" s="432"/>
      <c r="N133" s="432"/>
      <c r="O133" s="432"/>
      <c r="P133" s="432"/>
      <c r="Q133" s="432"/>
      <c r="R133" s="432"/>
      <c r="S133" s="432"/>
      <c r="T133" s="722"/>
    </row>
    <row r="134" spans="1:20" s="111" customFormat="1">
      <c r="A134" s="724" t="s">
        <v>681</v>
      </c>
      <c r="B134" s="606"/>
      <c r="C134" s="523" t="s">
        <v>526</v>
      </c>
      <c r="D134" s="524"/>
      <c r="E134" s="607"/>
      <c r="F134" s="447"/>
      <c r="G134" s="579"/>
      <c r="H134" s="432"/>
      <c r="I134" s="432"/>
      <c r="J134" s="432"/>
      <c r="K134" s="432"/>
      <c r="L134" s="432"/>
      <c r="M134" s="432"/>
      <c r="N134" s="432"/>
      <c r="O134" s="432"/>
      <c r="P134" s="432"/>
      <c r="Q134" s="432"/>
      <c r="R134" s="432"/>
      <c r="S134" s="432"/>
      <c r="T134" s="722"/>
    </row>
    <row r="135" spans="1:20" s="111" customFormat="1">
      <c r="A135" s="721">
        <v>1</v>
      </c>
      <c r="B135" s="522"/>
      <c r="C135" s="524" t="s">
        <v>823</v>
      </c>
      <c r="D135" s="524"/>
      <c r="E135" s="607"/>
      <c r="F135" s="447">
        <v>470.64000000000004</v>
      </c>
      <c r="G135" s="579" t="s">
        <v>450</v>
      </c>
      <c r="H135" s="432"/>
      <c r="I135" s="744"/>
      <c r="J135" s="744"/>
      <c r="K135" s="744"/>
      <c r="L135" s="432"/>
      <c r="M135" s="432"/>
      <c r="N135" s="432"/>
      <c r="O135" s="432"/>
      <c r="P135" s="432"/>
      <c r="Q135" s="432"/>
      <c r="R135" s="432"/>
      <c r="S135" s="432"/>
      <c r="T135" s="722"/>
    </row>
    <row r="136" spans="1:20" s="111" customFormat="1">
      <c r="A136" s="721">
        <v>2</v>
      </c>
      <c r="B136" s="522"/>
      <c r="C136" s="524" t="s">
        <v>824</v>
      </c>
      <c r="D136" s="524"/>
      <c r="E136" s="607"/>
      <c r="F136" s="447">
        <v>186.4</v>
      </c>
      <c r="G136" s="579" t="s">
        <v>453</v>
      </c>
      <c r="H136" s="432"/>
      <c r="I136" s="432"/>
      <c r="J136" s="432"/>
      <c r="K136" s="744"/>
      <c r="L136" s="432"/>
      <c r="M136" s="432"/>
      <c r="N136" s="432"/>
      <c r="O136" s="432"/>
      <c r="P136" s="432"/>
      <c r="Q136" s="432"/>
      <c r="R136" s="432"/>
      <c r="S136" s="432"/>
      <c r="T136" s="722"/>
    </row>
    <row r="137" spans="1:20" s="111" customFormat="1">
      <c r="A137" s="721">
        <v>3</v>
      </c>
      <c r="B137" s="522"/>
      <c r="C137" s="524" t="s">
        <v>912</v>
      </c>
      <c r="D137" s="524"/>
      <c r="E137" s="607"/>
      <c r="F137" s="447">
        <v>93.2</v>
      </c>
      <c r="G137" s="579" t="s">
        <v>453</v>
      </c>
      <c r="H137" s="432"/>
      <c r="I137" s="432"/>
      <c r="J137" s="432"/>
      <c r="K137" s="744"/>
      <c r="L137" s="744"/>
      <c r="M137" s="432"/>
      <c r="N137" s="432"/>
      <c r="O137" s="432"/>
      <c r="P137" s="432"/>
      <c r="Q137" s="432"/>
      <c r="R137" s="432"/>
      <c r="S137" s="432"/>
      <c r="T137" s="722"/>
    </row>
    <row r="138" spans="1:20" s="111" customFormat="1">
      <c r="A138" s="721">
        <v>5</v>
      </c>
      <c r="B138" s="522"/>
      <c r="C138" s="524" t="s">
        <v>913</v>
      </c>
      <c r="D138" s="524"/>
      <c r="E138" s="607"/>
      <c r="F138" s="447">
        <v>93.2</v>
      </c>
      <c r="G138" s="579" t="s">
        <v>453</v>
      </c>
      <c r="H138" s="432"/>
      <c r="I138" s="432"/>
      <c r="J138" s="432"/>
      <c r="K138" s="744"/>
      <c r="L138" s="744"/>
      <c r="M138" s="432"/>
      <c r="N138" s="432"/>
      <c r="O138" s="432"/>
      <c r="P138" s="432"/>
      <c r="Q138" s="432"/>
      <c r="R138" s="432"/>
      <c r="S138" s="432"/>
      <c r="T138" s="722"/>
    </row>
    <row r="139" spans="1:20" s="111" customFormat="1">
      <c r="A139" s="721">
        <v>6</v>
      </c>
      <c r="B139" s="522"/>
      <c r="C139" s="524" t="s">
        <v>828</v>
      </c>
      <c r="D139" s="524"/>
      <c r="E139" s="607"/>
      <c r="F139" s="447">
        <v>591.31732217234594</v>
      </c>
      <c r="G139" s="579" t="s">
        <v>450</v>
      </c>
      <c r="H139" s="432"/>
      <c r="I139" s="432"/>
      <c r="J139" s="432"/>
      <c r="K139" s="744"/>
      <c r="L139" s="744"/>
      <c r="M139" s="744"/>
      <c r="N139" s="744"/>
      <c r="O139" s="432"/>
      <c r="P139" s="432"/>
      <c r="Q139" s="432"/>
      <c r="R139" s="432"/>
      <c r="S139" s="432"/>
      <c r="T139" s="722"/>
    </row>
    <row r="140" spans="1:20" s="111" customFormat="1">
      <c r="A140" s="721">
        <v>7</v>
      </c>
      <c r="B140" s="522"/>
      <c r="C140" s="524" t="s">
        <v>829</v>
      </c>
      <c r="D140" s="524"/>
      <c r="E140" s="607"/>
      <c r="F140" s="447">
        <v>65.562207646771441</v>
      </c>
      <c r="G140" s="579" t="s">
        <v>453</v>
      </c>
      <c r="H140" s="432"/>
      <c r="I140" s="432"/>
      <c r="J140" s="432"/>
      <c r="K140" s="432"/>
      <c r="L140" s="432"/>
      <c r="M140" s="744"/>
      <c r="N140" s="744"/>
      <c r="O140" s="432"/>
      <c r="P140" s="432"/>
      <c r="Q140" s="432"/>
      <c r="R140" s="432"/>
      <c r="S140" s="432"/>
      <c r="T140" s="722"/>
    </row>
    <row r="141" spans="1:20" s="111" customFormat="1">
      <c r="A141" s="721">
        <v>8</v>
      </c>
      <c r="B141" s="522"/>
      <c r="C141" s="524" t="s">
        <v>830</v>
      </c>
      <c r="D141" s="524"/>
      <c r="E141" s="607"/>
      <c r="F141" s="447">
        <v>2</v>
      </c>
      <c r="G141" s="579" t="s">
        <v>7</v>
      </c>
      <c r="H141" s="432"/>
      <c r="I141" s="432"/>
      <c r="J141" s="432"/>
      <c r="K141" s="432"/>
      <c r="L141" s="432"/>
      <c r="M141" s="432"/>
      <c r="N141" s="744"/>
      <c r="O141" s="432"/>
      <c r="P141" s="432"/>
      <c r="Q141" s="432"/>
      <c r="R141" s="432"/>
      <c r="S141" s="432"/>
      <c r="T141" s="722"/>
    </row>
    <row r="142" spans="1:20" s="111" customFormat="1">
      <c r="A142" s="721">
        <v>9</v>
      </c>
      <c r="B142" s="522"/>
      <c r="C142" s="524" t="s">
        <v>831</v>
      </c>
      <c r="D142" s="524"/>
      <c r="E142" s="607"/>
      <c r="F142" s="447">
        <v>4</v>
      </c>
      <c r="G142" s="579" t="s">
        <v>7</v>
      </c>
      <c r="H142" s="432"/>
      <c r="I142" s="432"/>
      <c r="J142" s="432"/>
      <c r="K142" s="432"/>
      <c r="L142" s="432"/>
      <c r="M142" s="432"/>
      <c r="N142" s="744"/>
      <c r="O142" s="432"/>
      <c r="P142" s="432"/>
      <c r="Q142" s="432"/>
      <c r="R142" s="432"/>
      <c r="S142" s="432"/>
      <c r="T142" s="722"/>
    </row>
    <row r="143" spans="1:20" s="111" customFormat="1">
      <c r="A143" s="721"/>
      <c r="B143" s="522"/>
      <c r="C143" s="524"/>
      <c r="D143" s="524"/>
      <c r="E143" s="607"/>
      <c r="F143" s="447"/>
      <c r="G143" s="579"/>
      <c r="H143" s="432"/>
      <c r="I143" s="432"/>
      <c r="J143" s="432"/>
      <c r="K143" s="432"/>
      <c r="L143" s="432"/>
      <c r="M143" s="432"/>
      <c r="N143" s="432"/>
      <c r="O143" s="432"/>
      <c r="P143" s="432"/>
      <c r="Q143" s="432"/>
      <c r="R143" s="432"/>
      <c r="S143" s="432"/>
      <c r="T143" s="722"/>
    </row>
    <row r="144" spans="1:20" s="111" customFormat="1">
      <c r="A144" s="724" t="s">
        <v>470</v>
      </c>
      <c r="B144" s="606"/>
      <c r="C144" s="523" t="s">
        <v>527</v>
      </c>
      <c r="D144" s="524"/>
      <c r="E144" s="607"/>
      <c r="F144" s="447"/>
      <c r="G144" s="579"/>
      <c r="H144" s="432"/>
      <c r="I144" s="432"/>
      <c r="J144" s="432"/>
      <c r="K144" s="432"/>
      <c r="L144" s="432"/>
      <c r="M144" s="432"/>
      <c r="N144" s="432"/>
      <c r="O144" s="432"/>
      <c r="P144" s="432"/>
      <c r="Q144" s="432"/>
      <c r="R144" s="432"/>
      <c r="S144" s="432"/>
      <c r="T144" s="722"/>
    </row>
    <row r="145" spans="1:20" s="111" customFormat="1">
      <c r="A145" s="721">
        <v>1</v>
      </c>
      <c r="B145" s="522"/>
      <c r="C145" s="524" t="s">
        <v>800</v>
      </c>
      <c r="D145" s="524"/>
      <c r="E145" s="607"/>
      <c r="F145" s="447">
        <v>252.21750000000003</v>
      </c>
      <c r="G145" s="579" t="s">
        <v>450</v>
      </c>
      <c r="H145" s="432"/>
      <c r="I145" s="432"/>
      <c r="J145" s="432"/>
      <c r="K145" s="432"/>
      <c r="L145" s="432"/>
      <c r="M145" s="432"/>
      <c r="N145" s="432"/>
      <c r="O145" s="432"/>
      <c r="P145" s="432"/>
      <c r="Q145" s="432"/>
      <c r="R145" s="432"/>
      <c r="S145" s="432"/>
      <c r="T145" s="722"/>
    </row>
    <row r="146" spans="1:20" s="111" customFormat="1">
      <c r="A146" s="721">
        <v>2</v>
      </c>
      <c r="B146" s="522"/>
      <c r="C146" s="524" t="s">
        <v>802</v>
      </c>
      <c r="D146" s="524"/>
      <c r="E146" s="607"/>
      <c r="F146" s="447">
        <v>116.92999999999999</v>
      </c>
      <c r="G146" s="579" t="s">
        <v>20</v>
      </c>
      <c r="H146" s="432"/>
      <c r="I146" s="432"/>
      <c r="J146" s="432"/>
      <c r="K146" s="432"/>
      <c r="L146" s="432"/>
      <c r="M146" s="432"/>
      <c r="N146" s="432"/>
      <c r="O146" s="432"/>
      <c r="P146" s="432"/>
      <c r="Q146" s="744"/>
      <c r="R146" s="744"/>
      <c r="S146" s="744"/>
      <c r="T146" s="745"/>
    </row>
    <row r="147" spans="1:20" s="111" customFormat="1">
      <c r="A147" s="721">
        <v>3</v>
      </c>
      <c r="B147" s="522"/>
      <c r="C147" s="524" t="s">
        <v>907</v>
      </c>
      <c r="D147" s="524"/>
      <c r="E147" s="607"/>
      <c r="F147" s="447">
        <v>45.28</v>
      </c>
      <c r="G147" s="579" t="s">
        <v>20</v>
      </c>
      <c r="H147" s="432"/>
      <c r="I147" s="432"/>
      <c r="J147" s="432"/>
      <c r="K147" s="432"/>
      <c r="L147" s="432"/>
      <c r="M147" s="432"/>
      <c r="N147" s="432"/>
      <c r="O147" s="432"/>
      <c r="P147" s="432"/>
      <c r="Q147" s="744"/>
      <c r="R147" s="744"/>
      <c r="S147" s="744"/>
      <c r="T147" s="745"/>
    </row>
    <row r="148" spans="1:20" s="111" customFormat="1">
      <c r="A148" s="721"/>
      <c r="B148" s="522"/>
      <c r="C148" s="524"/>
      <c r="D148" s="524"/>
      <c r="E148" s="607"/>
      <c r="F148" s="447"/>
      <c r="G148" s="579"/>
      <c r="H148" s="432"/>
      <c r="I148" s="432"/>
      <c r="J148" s="432"/>
      <c r="K148" s="432"/>
      <c r="L148" s="432"/>
      <c r="M148" s="432"/>
      <c r="N148" s="432"/>
      <c r="O148" s="432"/>
      <c r="P148" s="432"/>
      <c r="Q148" s="744"/>
      <c r="R148" s="744"/>
      <c r="S148" s="744"/>
      <c r="T148" s="745"/>
    </row>
    <row r="149" spans="1:20" s="111" customFormat="1">
      <c r="A149" s="724" t="s">
        <v>471</v>
      </c>
      <c r="B149" s="606"/>
      <c r="C149" s="523" t="s">
        <v>806</v>
      </c>
      <c r="D149" s="524"/>
      <c r="E149" s="607"/>
      <c r="F149" s="447"/>
      <c r="G149" s="579"/>
      <c r="H149" s="432"/>
      <c r="I149" s="432"/>
      <c r="J149" s="432"/>
      <c r="K149" s="432"/>
      <c r="L149" s="432"/>
      <c r="M149" s="432"/>
      <c r="N149" s="432"/>
      <c r="O149" s="432"/>
      <c r="P149" s="432"/>
      <c r="Q149" s="432"/>
      <c r="R149" s="432"/>
      <c r="S149" s="432"/>
      <c r="T149" s="722"/>
    </row>
    <row r="150" spans="1:20" s="111" customFormat="1">
      <c r="A150" s="721">
        <v>1</v>
      </c>
      <c r="B150" s="522"/>
      <c r="C150" s="524" t="s">
        <v>832</v>
      </c>
      <c r="D150" s="524"/>
      <c r="E150" s="607"/>
      <c r="F150" s="447">
        <v>448.07499999999993</v>
      </c>
      <c r="G150" s="579" t="s">
        <v>450</v>
      </c>
      <c r="H150" s="432"/>
      <c r="I150" s="432"/>
      <c r="J150" s="432"/>
      <c r="K150" s="432"/>
      <c r="L150" s="432"/>
      <c r="M150" s="744"/>
      <c r="N150" s="744"/>
      <c r="O150" s="744"/>
      <c r="P150" s="744"/>
      <c r="Q150" s="432"/>
      <c r="R150" s="432"/>
      <c r="S150" s="432"/>
      <c r="T150" s="722"/>
    </row>
    <row r="151" spans="1:20" s="111" customFormat="1">
      <c r="A151" s="721">
        <v>2</v>
      </c>
      <c r="B151" s="522"/>
      <c r="C151" s="524" t="s">
        <v>833</v>
      </c>
      <c r="D151" s="524"/>
      <c r="E151" s="607"/>
      <c r="F151" s="447">
        <v>276.98749999999995</v>
      </c>
      <c r="G151" s="579" t="s">
        <v>450</v>
      </c>
      <c r="H151" s="432"/>
      <c r="I151" s="432"/>
      <c r="J151" s="432"/>
      <c r="K151" s="432"/>
      <c r="L151" s="432"/>
      <c r="M151" s="432"/>
      <c r="N151" s="432"/>
      <c r="O151" s="744"/>
      <c r="P151" s="744"/>
      <c r="Q151" s="744"/>
      <c r="R151" s="432"/>
      <c r="S151" s="432"/>
      <c r="T151" s="722"/>
    </row>
    <row r="152" spans="1:20" s="111" customFormat="1">
      <c r="A152" s="721">
        <v>3</v>
      </c>
      <c r="B152" s="522"/>
      <c r="C152" s="524" t="s">
        <v>958</v>
      </c>
      <c r="D152" s="524"/>
      <c r="E152" s="607"/>
      <c r="F152" s="447">
        <v>171.08749999999998</v>
      </c>
      <c r="G152" s="579" t="s">
        <v>450</v>
      </c>
      <c r="H152" s="432"/>
      <c r="I152" s="432"/>
      <c r="J152" s="432"/>
      <c r="K152" s="432"/>
      <c r="L152" s="432"/>
      <c r="M152" s="432"/>
      <c r="N152" s="432"/>
      <c r="O152" s="744"/>
      <c r="P152" s="744"/>
      <c r="Q152" s="744"/>
      <c r="R152" s="432"/>
      <c r="S152" s="432"/>
      <c r="T152" s="722"/>
    </row>
    <row r="153" spans="1:20" s="111" customFormat="1">
      <c r="A153" s="721">
        <v>4</v>
      </c>
      <c r="B153" s="522"/>
      <c r="C153" s="524" t="s">
        <v>905</v>
      </c>
      <c r="D153" s="524"/>
      <c r="E153" s="607"/>
      <c r="F153" s="447">
        <v>137.69999999999999</v>
      </c>
      <c r="G153" s="579" t="s">
        <v>20</v>
      </c>
      <c r="H153" s="432"/>
      <c r="I153" s="432"/>
      <c r="J153" s="432"/>
      <c r="K153" s="432"/>
      <c r="L153" s="432"/>
      <c r="M153" s="432"/>
      <c r="N153" s="432"/>
      <c r="O153" s="432"/>
      <c r="P153" s="744"/>
      <c r="Q153" s="744"/>
      <c r="R153" s="432"/>
      <c r="S153" s="432"/>
      <c r="T153" s="722"/>
    </row>
    <row r="154" spans="1:20" s="111" customFormat="1">
      <c r="A154" s="721">
        <v>5</v>
      </c>
      <c r="B154" s="522"/>
      <c r="C154" s="524" t="s">
        <v>906</v>
      </c>
      <c r="D154" s="524"/>
      <c r="E154" s="607"/>
      <c r="F154" s="447">
        <v>186.20000000000002</v>
      </c>
      <c r="G154" s="579" t="s">
        <v>20</v>
      </c>
      <c r="H154" s="432"/>
      <c r="I154" s="432"/>
      <c r="J154" s="432"/>
      <c r="K154" s="432"/>
      <c r="L154" s="432"/>
      <c r="M154" s="432"/>
      <c r="N154" s="432"/>
      <c r="O154" s="432"/>
      <c r="P154" s="744"/>
      <c r="Q154" s="744"/>
      <c r="R154" s="432"/>
      <c r="S154" s="432"/>
      <c r="T154" s="722"/>
    </row>
    <row r="155" spans="1:20" s="111" customFormat="1">
      <c r="A155" s="721"/>
      <c r="B155" s="522"/>
      <c r="C155" s="524"/>
      <c r="D155" s="524"/>
      <c r="E155" s="607"/>
      <c r="F155" s="447"/>
      <c r="G155" s="579"/>
      <c r="H155" s="432"/>
      <c r="I155" s="432"/>
      <c r="J155" s="432"/>
      <c r="K155" s="432"/>
      <c r="L155" s="432"/>
      <c r="M155" s="432"/>
      <c r="N155" s="432"/>
      <c r="O155" s="432"/>
      <c r="P155" s="432"/>
      <c r="Q155" s="432"/>
      <c r="R155" s="432"/>
      <c r="S155" s="432"/>
      <c r="T155" s="722"/>
    </row>
    <row r="156" spans="1:20" s="111" customFormat="1">
      <c r="A156" s="724" t="s">
        <v>471</v>
      </c>
      <c r="B156" s="606"/>
      <c r="C156" s="523" t="s">
        <v>472</v>
      </c>
      <c r="D156" s="524"/>
      <c r="E156" s="607"/>
      <c r="F156" s="447"/>
      <c r="G156" s="579"/>
      <c r="H156" s="432"/>
      <c r="I156" s="432"/>
      <c r="J156" s="432"/>
      <c r="K156" s="432"/>
      <c r="L156" s="432"/>
      <c r="M156" s="432"/>
      <c r="N156" s="432"/>
      <c r="O156" s="432"/>
      <c r="P156" s="432"/>
      <c r="Q156" s="432"/>
      <c r="R156" s="432"/>
      <c r="S156" s="432"/>
      <c r="T156" s="722"/>
    </row>
    <row r="157" spans="1:20" s="111" customFormat="1">
      <c r="A157" s="721">
        <v>1</v>
      </c>
      <c r="B157" s="522"/>
      <c r="C157" s="524" t="s">
        <v>473</v>
      </c>
      <c r="D157" s="524"/>
      <c r="E157" s="607"/>
      <c r="F157" s="447">
        <v>9</v>
      </c>
      <c r="G157" s="579" t="s">
        <v>7</v>
      </c>
      <c r="H157" s="432"/>
      <c r="I157" s="432"/>
      <c r="J157" s="432"/>
      <c r="K157" s="432"/>
      <c r="L157" s="432"/>
      <c r="M157" s="432"/>
      <c r="N157" s="432"/>
      <c r="O157" s="432"/>
      <c r="P157" s="432"/>
      <c r="Q157" s="744"/>
      <c r="R157" s="744"/>
      <c r="S157" s="432"/>
      <c r="T157" s="722"/>
    </row>
    <row r="158" spans="1:20" s="111" customFormat="1">
      <c r="A158" s="721">
        <v>2</v>
      </c>
      <c r="B158" s="522"/>
      <c r="C158" s="524" t="s">
        <v>474</v>
      </c>
      <c r="D158" s="524"/>
      <c r="E158" s="607"/>
      <c r="F158" s="447">
        <v>13.5</v>
      </c>
      <c r="G158" s="579" t="s">
        <v>18</v>
      </c>
      <c r="H158" s="432"/>
      <c r="I158" s="432"/>
      <c r="J158" s="432"/>
      <c r="K158" s="432"/>
      <c r="L158" s="432"/>
      <c r="M158" s="432"/>
      <c r="N158" s="432"/>
      <c r="O158" s="432"/>
      <c r="P158" s="432"/>
      <c r="Q158" s="744"/>
      <c r="R158" s="744"/>
      <c r="S158" s="432"/>
      <c r="T158" s="722"/>
    </row>
    <row r="159" spans="1:20" s="111" customFormat="1">
      <c r="A159" s="721">
        <v>3</v>
      </c>
      <c r="B159" s="522"/>
      <c r="C159" s="524" t="s">
        <v>475</v>
      </c>
      <c r="D159" s="524"/>
      <c r="E159" s="607"/>
      <c r="F159" s="447">
        <v>9</v>
      </c>
      <c r="G159" s="579" t="s">
        <v>7</v>
      </c>
      <c r="H159" s="432"/>
      <c r="I159" s="432"/>
      <c r="J159" s="432"/>
      <c r="K159" s="432"/>
      <c r="L159" s="432"/>
      <c r="M159" s="432"/>
      <c r="N159" s="432"/>
      <c r="O159" s="432"/>
      <c r="P159" s="432"/>
      <c r="Q159" s="744"/>
      <c r="R159" s="744"/>
      <c r="S159" s="432"/>
      <c r="T159" s="722"/>
    </row>
    <row r="160" spans="1:20" s="111" customFormat="1">
      <c r="A160" s="721">
        <v>4</v>
      </c>
      <c r="B160" s="522"/>
      <c r="C160" s="524" t="s">
        <v>476</v>
      </c>
      <c r="D160" s="524"/>
      <c r="E160" s="607"/>
      <c r="F160" s="447">
        <v>48</v>
      </c>
      <c r="G160" s="579" t="s">
        <v>18</v>
      </c>
      <c r="H160" s="432"/>
      <c r="I160" s="432"/>
      <c r="J160" s="432"/>
      <c r="K160" s="432"/>
      <c r="L160" s="432"/>
      <c r="M160" s="432"/>
      <c r="N160" s="432"/>
      <c r="O160" s="432"/>
      <c r="P160" s="432"/>
      <c r="Q160" s="744"/>
      <c r="R160" s="744"/>
      <c r="S160" s="432"/>
      <c r="T160" s="722"/>
    </row>
    <row r="161" spans="1:20" s="111" customFormat="1">
      <c r="A161" s="721">
        <v>5</v>
      </c>
      <c r="B161" s="522"/>
      <c r="C161" s="524" t="s">
        <v>477</v>
      </c>
      <c r="D161" s="524"/>
      <c r="E161" s="607"/>
      <c r="F161" s="447">
        <v>48</v>
      </c>
      <c r="G161" s="579" t="s">
        <v>7</v>
      </c>
      <c r="H161" s="432"/>
      <c r="I161" s="432"/>
      <c r="J161" s="432"/>
      <c r="K161" s="432"/>
      <c r="L161" s="432"/>
      <c r="M161" s="432"/>
      <c r="N161" s="432"/>
      <c r="O161" s="432"/>
      <c r="P161" s="432"/>
      <c r="Q161" s="744"/>
      <c r="R161" s="744"/>
      <c r="S161" s="432"/>
      <c r="T161" s="722"/>
    </row>
    <row r="162" spans="1:20" s="111" customFormat="1">
      <c r="A162" s="721">
        <v>6</v>
      </c>
      <c r="B162" s="522"/>
      <c r="C162" s="524" t="s">
        <v>478</v>
      </c>
      <c r="D162" s="524"/>
      <c r="E162" s="607"/>
      <c r="F162" s="447">
        <v>48</v>
      </c>
      <c r="G162" s="579" t="s">
        <v>18</v>
      </c>
      <c r="H162" s="432"/>
      <c r="I162" s="432"/>
      <c r="J162" s="432"/>
      <c r="K162" s="432"/>
      <c r="L162" s="432"/>
      <c r="M162" s="432"/>
      <c r="N162" s="432"/>
      <c r="O162" s="432"/>
      <c r="P162" s="432"/>
      <c r="Q162" s="744"/>
      <c r="R162" s="744"/>
      <c r="S162" s="432"/>
      <c r="T162" s="722"/>
    </row>
    <row r="163" spans="1:20" s="111" customFormat="1">
      <c r="A163" s="721"/>
      <c r="B163" s="522"/>
      <c r="C163" s="524"/>
      <c r="D163" s="524"/>
      <c r="E163" s="607"/>
      <c r="F163" s="447"/>
      <c r="G163" s="579"/>
      <c r="H163" s="432"/>
      <c r="I163" s="432"/>
      <c r="J163" s="432"/>
      <c r="K163" s="432"/>
      <c r="L163" s="432"/>
      <c r="M163" s="432"/>
      <c r="N163" s="432"/>
      <c r="O163" s="432"/>
      <c r="P163" s="432"/>
      <c r="Q163" s="432"/>
      <c r="R163" s="432"/>
      <c r="S163" s="432"/>
      <c r="T163" s="722"/>
    </row>
    <row r="164" spans="1:20" s="111" customFormat="1">
      <c r="A164" s="724" t="s">
        <v>479</v>
      </c>
      <c r="B164" s="606"/>
      <c r="C164" s="523" t="s">
        <v>480</v>
      </c>
      <c r="D164" s="524"/>
      <c r="E164" s="607"/>
      <c r="F164" s="447"/>
      <c r="G164" s="579"/>
      <c r="H164" s="432"/>
      <c r="I164" s="432"/>
      <c r="J164" s="432"/>
      <c r="K164" s="432"/>
      <c r="L164" s="432"/>
      <c r="M164" s="432"/>
      <c r="N164" s="432"/>
      <c r="O164" s="432"/>
      <c r="P164" s="432"/>
      <c r="Q164" s="432"/>
      <c r="R164" s="432"/>
      <c r="S164" s="432"/>
      <c r="T164" s="722"/>
    </row>
    <row r="165" spans="1:20" s="111" customFormat="1">
      <c r="A165" s="721">
        <v>1</v>
      </c>
      <c r="B165" s="522"/>
      <c r="C165" s="524" t="s">
        <v>972</v>
      </c>
      <c r="D165" s="524"/>
      <c r="E165" s="607"/>
      <c r="F165" s="447">
        <v>154.70089999999999</v>
      </c>
      <c r="G165" s="579" t="s">
        <v>450</v>
      </c>
      <c r="H165" s="432"/>
      <c r="I165" s="432"/>
      <c r="J165" s="432"/>
      <c r="K165" s="432"/>
      <c r="L165" s="432"/>
      <c r="M165" s="432"/>
      <c r="N165" s="432"/>
      <c r="O165" s="432"/>
      <c r="P165" s="744"/>
      <c r="Q165" s="744"/>
      <c r="R165" s="744"/>
      <c r="S165" s="744"/>
      <c r="T165" s="745"/>
    </row>
    <row r="166" spans="1:20" s="111" customFormat="1">
      <c r="A166" s="721">
        <v>2</v>
      </c>
      <c r="B166" s="522"/>
      <c r="C166" s="524" t="s">
        <v>973</v>
      </c>
      <c r="D166" s="524"/>
      <c r="E166" s="607"/>
      <c r="F166" s="447">
        <v>42.580799999999996</v>
      </c>
      <c r="G166" s="579" t="s">
        <v>450</v>
      </c>
      <c r="H166" s="432"/>
      <c r="I166" s="432"/>
      <c r="J166" s="432"/>
      <c r="K166" s="432"/>
      <c r="L166" s="432"/>
      <c r="M166" s="432"/>
      <c r="N166" s="432"/>
      <c r="O166" s="432"/>
      <c r="P166" s="744"/>
      <c r="Q166" s="744"/>
      <c r="R166" s="744"/>
      <c r="S166" s="744"/>
      <c r="T166" s="745"/>
    </row>
    <row r="167" spans="1:20" s="111" customFormat="1">
      <c r="A167" s="721">
        <v>3</v>
      </c>
      <c r="B167" s="522"/>
      <c r="C167" s="524" t="s">
        <v>917</v>
      </c>
      <c r="D167" s="524"/>
      <c r="E167" s="607"/>
      <c r="F167" s="447">
        <v>184.80199999999999</v>
      </c>
      <c r="G167" s="579" t="s">
        <v>450</v>
      </c>
      <c r="H167" s="432"/>
      <c r="I167" s="432"/>
      <c r="J167" s="432"/>
      <c r="K167" s="432"/>
      <c r="L167" s="432"/>
      <c r="M167" s="432"/>
      <c r="N167" s="432"/>
      <c r="O167" s="432"/>
      <c r="P167" s="744"/>
      <c r="Q167" s="744"/>
      <c r="R167" s="744"/>
      <c r="S167" s="744"/>
      <c r="T167" s="745"/>
    </row>
    <row r="168" spans="1:20" s="111" customFormat="1">
      <c r="A168" s="721">
        <v>4</v>
      </c>
      <c r="B168" s="522"/>
      <c r="C168" s="524" t="s">
        <v>911</v>
      </c>
      <c r="D168" s="524"/>
      <c r="E168" s="607"/>
      <c r="F168" s="447">
        <v>720.01499999999999</v>
      </c>
      <c r="G168" s="579" t="s">
        <v>450</v>
      </c>
      <c r="H168" s="432"/>
      <c r="I168" s="432"/>
      <c r="J168" s="432"/>
      <c r="K168" s="432"/>
      <c r="L168" s="432"/>
      <c r="M168" s="432"/>
      <c r="N168" s="432"/>
      <c r="O168" s="432"/>
      <c r="P168" s="744"/>
      <c r="Q168" s="744"/>
      <c r="R168" s="744"/>
      <c r="S168" s="744"/>
      <c r="T168" s="745"/>
    </row>
    <row r="169" spans="1:20" s="111" customFormat="1">
      <c r="A169" s="721">
        <v>5</v>
      </c>
      <c r="B169" s="522"/>
      <c r="C169" s="524" t="s">
        <v>910</v>
      </c>
      <c r="D169" s="524"/>
      <c r="E169" s="607"/>
      <c r="F169" s="447">
        <v>276.98749999999995</v>
      </c>
      <c r="G169" s="579" t="s">
        <v>450</v>
      </c>
      <c r="H169" s="432"/>
      <c r="I169" s="432"/>
      <c r="J169" s="432"/>
      <c r="K169" s="432"/>
      <c r="L169" s="432"/>
      <c r="M169" s="432"/>
      <c r="N169" s="432"/>
      <c r="O169" s="432"/>
      <c r="P169" s="744"/>
      <c r="Q169" s="744"/>
      <c r="R169" s="744"/>
      <c r="S169" s="744"/>
      <c r="T169" s="745"/>
    </row>
    <row r="170" spans="1:20" s="111" customFormat="1">
      <c r="A170" s="721"/>
      <c r="B170" s="522"/>
      <c r="C170" s="524"/>
      <c r="D170" s="524"/>
      <c r="E170" s="607"/>
      <c r="F170" s="447"/>
      <c r="G170" s="579"/>
      <c r="H170" s="432"/>
      <c r="I170" s="432"/>
      <c r="J170" s="432"/>
      <c r="K170" s="432"/>
      <c r="L170" s="432"/>
      <c r="M170" s="432"/>
      <c r="N170" s="432"/>
      <c r="O170" s="432"/>
      <c r="P170" s="432"/>
      <c r="Q170" s="432"/>
      <c r="R170" s="432"/>
      <c r="S170" s="432"/>
      <c r="T170" s="722"/>
    </row>
    <row r="171" spans="1:20" s="111" customFormat="1">
      <c r="A171" s="724" t="s">
        <v>482</v>
      </c>
      <c r="B171" s="606"/>
      <c r="C171" s="523" t="s">
        <v>834</v>
      </c>
      <c r="D171" s="524"/>
      <c r="E171" s="607"/>
      <c r="F171" s="447"/>
      <c r="G171" s="579"/>
      <c r="H171" s="432"/>
      <c r="I171" s="432"/>
      <c r="J171" s="432"/>
      <c r="K171" s="432"/>
      <c r="L171" s="432"/>
      <c r="M171" s="432"/>
      <c r="N171" s="432"/>
      <c r="O171" s="432"/>
      <c r="P171" s="432"/>
      <c r="Q171" s="432"/>
      <c r="R171" s="432"/>
      <c r="S171" s="432"/>
      <c r="T171" s="722"/>
    </row>
    <row r="172" spans="1:20" s="111" customFormat="1">
      <c r="A172" s="721">
        <v>1</v>
      </c>
      <c r="B172" s="522"/>
      <c r="C172" s="524" t="s">
        <v>484</v>
      </c>
      <c r="D172" s="524"/>
      <c r="E172" s="607"/>
      <c r="F172" s="447">
        <v>41</v>
      </c>
      <c r="G172" s="579" t="s">
        <v>8</v>
      </c>
      <c r="H172" s="432"/>
      <c r="I172" s="432"/>
      <c r="J172" s="432"/>
      <c r="K172" s="432"/>
      <c r="L172" s="432"/>
      <c r="M172" s="432"/>
      <c r="N172" s="432"/>
      <c r="O172" s="432"/>
      <c r="P172" s="432"/>
      <c r="Q172" s="432"/>
      <c r="R172" s="432"/>
      <c r="S172" s="432"/>
      <c r="T172" s="722"/>
    </row>
    <row r="173" spans="1:20" s="111" customFormat="1">
      <c r="A173" s="721">
        <v>2</v>
      </c>
      <c r="B173" s="522"/>
      <c r="C173" s="524" t="s">
        <v>485</v>
      </c>
      <c r="D173" s="524"/>
      <c r="E173" s="607"/>
      <c r="F173" s="447">
        <v>37</v>
      </c>
      <c r="G173" s="579" t="s">
        <v>8</v>
      </c>
      <c r="H173" s="432"/>
      <c r="I173" s="432"/>
      <c r="J173" s="432"/>
      <c r="K173" s="432"/>
      <c r="L173" s="432"/>
      <c r="M173" s="432"/>
      <c r="N173" s="432"/>
      <c r="O173" s="432"/>
      <c r="P173" s="432"/>
      <c r="Q173" s="432"/>
      <c r="R173" s="432"/>
      <c r="S173" s="432"/>
      <c r="T173" s="722"/>
    </row>
    <row r="174" spans="1:20" s="111" customFormat="1">
      <c r="A174" s="721">
        <v>3</v>
      </c>
      <c r="B174" s="522"/>
      <c r="C174" s="524" t="s">
        <v>811</v>
      </c>
      <c r="D174" s="524"/>
      <c r="E174" s="607"/>
      <c r="F174" s="447">
        <v>8</v>
      </c>
      <c r="G174" s="579" t="s">
        <v>8</v>
      </c>
      <c r="H174" s="432"/>
      <c r="I174" s="432"/>
      <c r="J174" s="432"/>
      <c r="K174" s="432"/>
      <c r="L174" s="432"/>
      <c r="M174" s="432"/>
      <c r="N174" s="432"/>
      <c r="O174" s="432"/>
      <c r="P174" s="432"/>
      <c r="Q174" s="432"/>
      <c r="R174" s="744"/>
      <c r="S174" s="744"/>
      <c r="T174" s="745"/>
    </row>
    <row r="175" spans="1:20" s="111" customFormat="1">
      <c r="A175" s="721">
        <v>4</v>
      </c>
      <c r="B175" s="522"/>
      <c r="C175" s="524" t="s">
        <v>812</v>
      </c>
      <c r="D175" s="524"/>
      <c r="E175" s="607"/>
      <c r="F175" s="447">
        <v>37</v>
      </c>
      <c r="G175" s="579" t="s">
        <v>8</v>
      </c>
      <c r="H175" s="432"/>
      <c r="I175" s="432"/>
      <c r="J175" s="432"/>
      <c r="K175" s="432"/>
      <c r="L175" s="432"/>
      <c r="M175" s="432"/>
      <c r="N175" s="432"/>
      <c r="O175" s="432"/>
      <c r="P175" s="432"/>
      <c r="Q175" s="432"/>
      <c r="R175" s="744"/>
      <c r="S175" s="744"/>
      <c r="T175" s="745"/>
    </row>
    <row r="176" spans="1:20" s="111" customFormat="1">
      <c r="A176" s="721">
        <v>5</v>
      </c>
      <c r="B176" s="522"/>
      <c r="C176" s="524" t="s">
        <v>813</v>
      </c>
      <c r="D176" s="524"/>
      <c r="E176" s="607"/>
      <c r="F176" s="447">
        <v>8</v>
      </c>
      <c r="G176" s="579" t="s">
        <v>8</v>
      </c>
      <c r="H176" s="432"/>
      <c r="I176" s="432"/>
      <c r="J176" s="432"/>
      <c r="K176" s="432"/>
      <c r="L176" s="432"/>
      <c r="M176" s="432"/>
      <c r="N176" s="432"/>
      <c r="O176" s="432"/>
      <c r="P176" s="432"/>
      <c r="Q176" s="432"/>
      <c r="R176" s="744"/>
      <c r="S176" s="744"/>
      <c r="T176" s="745"/>
    </row>
    <row r="177" spans="1:20" s="111" customFormat="1">
      <c r="A177" s="721">
        <v>6</v>
      </c>
      <c r="B177" s="522"/>
      <c r="C177" s="524" t="s">
        <v>815</v>
      </c>
      <c r="D177" s="524"/>
      <c r="E177" s="607"/>
      <c r="F177" s="447">
        <v>5</v>
      </c>
      <c r="G177" s="579" t="s">
        <v>8</v>
      </c>
      <c r="H177" s="432"/>
      <c r="I177" s="432"/>
      <c r="J177" s="432"/>
      <c r="K177" s="432"/>
      <c r="L177" s="432"/>
      <c r="M177" s="432"/>
      <c r="N177" s="432"/>
      <c r="O177" s="432"/>
      <c r="P177" s="432"/>
      <c r="Q177" s="432"/>
      <c r="R177" s="744"/>
      <c r="S177" s="744"/>
      <c r="T177" s="745"/>
    </row>
    <row r="178" spans="1:20" s="111" customFormat="1">
      <c r="A178" s="721">
        <v>7</v>
      </c>
      <c r="B178" s="522"/>
      <c r="C178" s="524" t="s">
        <v>816</v>
      </c>
      <c r="D178" s="524"/>
      <c r="E178" s="607"/>
      <c r="F178" s="447">
        <v>6</v>
      </c>
      <c r="G178" s="579" t="s">
        <v>8</v>
      </c>
      <c r="H178" s="432"/>
      <c r="I178" s="432"/>
      <c r="J178" s="432"/>
      <c r="K178" s="432"/>
      <c r="L178" s="432"/>
      <c r="M178" s="432"/>
      <c r="N178" s="432"/>
      <c r="O178" s="432"/>
      <c r="P178" s="432"/>
      <c r="Q178" s="432"/>
      <c r="R178" s="744"/>
      <c r="S178" s="744"/>
      <c r="T178" s="745"/>
    </row>
    <row r="179" spans="1:20" s="111" customFormat="1">
      <c r="A179" s="721">
        <v>8</v>
      </c>
      <c r="B179" s="522"/>
      <c r="C179" s="524" t="s">
        <v>817</v>
      </c>
      <c r="D179" s="524"/>
      <c r="E179" s="607"/>
      <c r="F179" s="447">
        <v>35</v>
      </c>
      <c r="G179" s="579" t="s">
        <v>8</v>
      </c>
      <c r="H179" s="432"/>
      <c r="I179" s="432"/>
      <c r="J179" s="432"/>
      <c r="K179" s="432"/>
      <c r="L179" s="432"/>
      <c r="M179" s="432"/>
      <c r="N179" s="432"/>
      <c r="O179" s="432"/>
      <c r="P179" s="432"/>
      <c r="Q179" s="432"/>
      <c r="R179" s="744"/>
      <c r="S179" s="744"/>
      <c r="T179" s="745"/>
    </row>
    <row r="180" spans="1:20" s="111" customFormat="1">
      <c r="A180" s="721">
        <v>9</v>
      </c>
      <c r="B180" s="522"/>
      <c r="C180" s="524" t="s">
        <v>818</v>
      </c>
      <c r="D180" s="524"/>
      <c r="E180" s="607"/>
      <c r="F180" s="447">
        <v>1</v>
      </c>
      <c r="G180" s="579" t="s">
        <v>7</v>
      </c>
      <c r="H180" s="432"/>
      <c r="I180" s="432"/>
      <c r="J180" s="432"/>
      <c r="K180" s="432"/>
      <c r="L180" s="432"/>
      <c r="M180" s="744"/>
      <c r="N180" s="432"/>
      <c r="O180" s="432"/>
      <c r="P180" s="432"/>
      <c r="Q180" s="432"/>
      <c r="R180" s="432"/>
      <c r="S180" s="432"/>
      <c r="T180" s="722"/>
    </row>
    <row r="181" spans="1:20" s="111" customFormat="1">
      <c r="A181" s="721">
        <v>10</v>
      </c>
      <c r="B181" s="522"/>
      <c r="C181" s="524" t="s">
        <v>819</v>
      </c>
      <c r="D181" s="524"/>
      <c r="E181" s="607"/>
      <c r="F181" s="447">
        <v>6</v>
      </c>
      <c r="G181" s="579" t="s">
        <v>7</v>
      </c>
      <c r="H181" s="432"/>
      <c r="I181" s="432"/>
      <c r="J181" s="432"/>
      <c r="K181" s="432"/>
      <c r="L181" s="432"/>
      <c r="M181" s="432"/>
      <c r="N181" s="432"/>
      <c r="O181" s="432"/>
      <c r="P181" s="432"/>
      <c r="Q181" s="432"/>
      <c r="R181" s="744"/>
      <c r="S181" s="744"/>
      <c r="T181" s="745"/>
    </row>
    <row r="182" spans="1:20" s="111" customFormat="1">
      <c r="A182" s="721">
        <v>11</v>
      </c>
      <c r="B182" s="522"/>
      <c r="C182" s="524" t="s">
        <v>550</v>
      </c>
      <c r="D182" s="524"/>
      <c r="E182" s="607"/>
      <c r="F182" s="447">
        <v>2</v>
      </c>
      <c r="G182" s="579" t="s">
        <v>835</v>
      </c>
      <c r="H182" s="432"/>
      <c r="I182" s="432"/>
      <c r="J182" s="432"/>
      <c r="K182" s="432"/>
      <c r="L182" s="432"/>
      <c r="M182" s="432"/>
      <c r="N182" s="432"/>
      <c r="O182" s="432"/>
      <c r="P182" s="432"/>
      <c r="Q182" s="744"/>
      <c r="R182" s="744"/>
      <c r="S182" s="432"/>
      <c r="T182" s="722"/>
    </row>
    <row r="183" spans="1:20" s="111" customFormat="1">
      <c r="A183" s="721"/>
      <c r="B183" s="522"/>
      <c r="C183" s="524"/>
      <c r="D183" s="524"/>
      <c r="E183" s="607"/>
      <c r="F183" s="447"/>
      <c r="G183" s="579"/>
      <c r="H183" s="432"/>
      <c r="I183" s="432"/>
      <c r="J183" s="432"/>
      <c r="K183" s="432"/>
      <c r="L183" s="432"/>
      <c r="M183" s="432"/>
      <c r="N183" s="432"/>
      <c r="O183" s="432"/>
      <c r="P183" s="432"/>
      <c r="Q183" s="432"/>
      <c r="R183" s="432"/>
      <c r="S183" s="432"/>
      <c r="T183" s="722"/>
    </row>
    <row r="184" spans="1:20" s="111" customFormat="1">
      <c r="A184" s="724" t="s">
        <v>820</v>
      </c>
      <c r="B184" s="606"/>
      <c r="C184" s="523" t="s">
        <v>951</v>
      </c>
      <c r="D184" s="524"/>
      <c r="E184" s="607"/>
      <c r="F184" s="447"/>
      <c r="G184" s="579"/>
      <c r="H184" s="432"/>
      <c r="I184" s="432"/>
      <c r="J184" s="432"/>
      <c r="K184" s="432"/>
      <c r="L184" s="432"/>
      <c r="M184" s="432"/>
      <c r="N184" s="432"/>
      <c r="O184" s="432"/>
      <c r="P184" s="432"/>
      <c r="Q184" s="432"/>
      <c r="R184" s="432"/>
      <c r="S184" s="432"/>
      <c r="T184" s="722"/>
    </row>
    <row r="185" spans="1:20" s="111" customFormat="1">
      <c r="A185" s="721">
        <v>1</v>
      </c>
      <c r="B185" s="522"/>
      <c r="C185" s="524" t="s">
        <v>935</v>
      </c>
      <c r="D185" s="524"/>
      <c r="E185" s="607"/>
      <c r="F185" s="447">
        <v>10.223999999999998</v>
      </c>
      <c r="G185" s="579" t="s">
        <v>7</v>
      </c>
      <c r="H185" s="432"/>
      <c r="I185" s="432"/>
      <c r="J185" s="432"/>
      <c r="K185" s="432"/>
      <c r="L185" s="432"/>
      <c r="M185" s="432"/>
      <c r="N185" s="432"/>
      <c r="O185" s="744"/>
      <c r="P185" s="744"/>
      <c r="Q185" s="744"/>
      <c r="R185" s="432"/>
      <c r="S185" s="432"/>
      <c r="T185" s="722"/>
    </row>
    <row r="186" spans="1:20" s="111" customFormat="1">
      <c r="A186" s="721"/>
      <c r="B186" s="522"/>
      <c r="C186" s="524"/>
      <c r="D186" s="524"/>
      <c r="E186" s="607"/>
      <c r="F186" s="447"/>
      <c r="G186" s="579"/>
      <c r="H186" s="432"/>
      <c r="I186" s="432"/>
      <c r="J186" s="432"/>
      <c r="K186" s="432"/>
      <c r="L186" s="432"/>
      <c r="M186" s="432"/>
      <c r="N186" s="432"/>
      <c r="O186" s="432"/>
      <c r="P186" s="432"/>
      <c r="Q186" s="432"/>
      <c r="R186" s="432"/>
      <c r="S186" s="432"/>
      <c r="T186" s="722"/>
    </row>
    <row r="187" spans="1:20" s="111" customFormat="1">
      <c r="A187" s="721"/>
      <c r="B187" s="522"/>
      <c r="C187" s="524"/>
      <c r="D187" s="524"/>
      <c r="E187" s="607"/>
      <c r="F187" s="447"/>
      <c r="G187" s="579"/>
      <c r="H187" s="432"/>
      <c r="I187" s="432"/>
      <c r="J187" s="432"/>
      <c r="K187" s="432"/>
      <c r="L187" s="432"/>
      <c r="M187" s="432"/>
      <c r="N187" s="432"/>
      <c r="O187" s="432"/>
      <c r="P187" s="432"/>
      <c r="Q187" s="432"/>
      <c r="R187" s="432"/>
      <c r="S187" s="432"/>
      <c r="T187" s="722"/>
    </row>
    <row r="188" spans="1:20" s="111" customFormat="1" ht="15" thickBot="1">
      <c r="A188" s="725"/>
      <c r="B188" s="530"/>
      <c r="C188" s="527"/>
      <c r="D188" s="527"/>
      <c r="E188" s="614"/>
      <c r="F188" s="528"/>
      <c r="G188" s="726"/>
      <c r="H188" s="727"/>
      <c r="I188" s="727"/>
      <c r="J188" s="727"/>
      <c r="K188" s="727"/>
      <c r="L188" s="727"/>
      <c r="M188" s="727"/>
      <c r="N188" s="727"/>
      <c r="O188" s="727"/>
      <c r="P188" s="727"/>
      <c r="Q188" s="727"/>
      <c r="R188" s="727"/>
      <c r="S188" s="727"/>
      <c r="T188" s="728"/>
    </row>
    <row r="189" spans="1:20" s="111" customFormat="1" ht="15" thickTop="1">
      <c r="A189" s="507"/>
      <c r="B189" s="508"/>
      <c r="C189" s="508"/>
      <c r="D189" s="508"/>
      <c r="E189" s="508"/>
      <c r="F189" s="508"/>
      <c r="G189" s="713"/>
    </row>
    <row r="190" spans="1:20" s="111" customFormat="1">
      <c r="A190" s="507"/>
      <c r="B190" s="508"/>
      <c r="C190" s="508"/>
      <c r="D190" s="508"/>
      <c r="E190" s="508"/>
      <c r="F190" s="508"/>
      <c r="G190" s="713"/>
    </row>
    <row r="191" spans="1:20" s="111" customFormat="1"/>
    <row r="192" spans="1:20" s="111" customFormat="1"/>
    <row r="193" s="111" customFormat="1"/>
    <row r="194" s="111" customFormat="1"/>
    <row r="195" s="111" customFormat="1"/>
    <row r="196" s="111" customFormat="1"/>
    <row r="197" s="111" customFormat="1"/>
    <row r="198" s="111" customFormat="1"/>
    <row r="199" s="111" customFormat="1"/>
    <row r="200" s="111" customFormat="1"/>
    <row r="201" s="111" customFormat="1"/>
    <row r="202" s="111" customFormat="1"/>
    <row r="203" s="111" customFormat="1"/>
    <row r="204" s="111" customFormat="1"/>
    <row r="205" s="111" customFormat="1"/>
    <row r="206" s="111" customFormat="1"/>
    <row r="207" s="111" customFormat="1"/>
    <row r="208" s="111" customFormat="1"/>
    <row r="209" s="111" customFormat="1"/>
    <row r="210" s="111" customFormat="1"/>
    <row r="211" s="111" customFormat="1"/>
    <row r="212" s="111" customFormat="1"/>
    <row r="213" s="111" customFormat="1"/>
  </sheetData>
  <mergeCells count="9">
    <mergeCell ref="H8:K8"/>
    <mergeCell ref="L8:O8"/>
    <mergeCell ref="P8:T8"/>
    <mergeCell ref="A1:T1"/>
    <mergeCell ref="F7:G7"/>
    <mergeCell ref="A8:A9"/>
    <mergeCell ref="B8:E9"/>
    <mergeCell ref="F8:F9"/>
    <mergeCell ref="G8:G9"/>
  </mergeCells>
  <pageMargins left="0.7" right="0.7" top="0.75" bottom="0.75" header="0.3" footer="0.3"/>
  <pageSetup paperSize="8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13" workbookViewId="0">
      <selection activeCell="M36" sqref="M36"/>
    </sheetView>
  </sheetViews>
  <sheetFormatPr defaultRowHeight="14.25"/>
  <cols>
    <col min="1" max="1" width="2.625" customWidth="1"/>
    <col min="7" max="7" width="15.375" customWidth="1"/>
  </cols>
  <sheetData>
    <row r="1" spans="1:19" ht="15.75">
      <c r="A1" s="1937" t="s">
        <v>558</v>
      </c>
      <c r="B1" s="1937"/>
      <c r="C1" s="1937"/>
      <c r="D1" s="1937"/>
      <c r="E1" s="1937"/>
      <c r="F1" s="1937"/>
      <c r="G1" s="1937"/>
      <c r="H1" s="1937"/>
      <c r="I1" s="1937"/>
      <c r="J1" s="1937"/>
      <c r="K1" s="1937"/>
      <c r="L1" s="1937"/>
      <c r="M1" s="1937"/>
      <c r="N1" s="1937"/>
      <c r="O1" s="1937"/>
      <c r="P1" s="1937"/>
      <c r="Q1" s="1937"/>
      <c r="R1" s="1937"/>
      <c r="S1" s="1937"/>
    </row>
    <row r="2" spans="1:19" ht="15.75">
      <c r="A2" s="1937" t="s">
        <v>559</v>
      </c>
      <c r="B2" s="1937"/>
      <c r="C2" s="1937"/>
      <c r="D2" s="1937"/>
      <c r="E2" s="1937"/>
      <c r="F2" s="1937"/>
      <c r="G2" s="1937"/>
      <c r="H2" s="1937"/>
      <c r="I2" s="1937"/>
      <c r="J2" s="1937"/>
      <c r="K2" s="1937"/>
      <c r="L2" s="1937"/>
      <c r="M2" s="1937"/>
      <c r="N2" s="1937"/>
      <c r="O2" s="1937"/>
      <c r="P2" s="1937"/>
      <c r="Q2" s="1937"/>
      <c r="R2" s="1937"/>
      <c r="S2" s="1937"/>
    </row>
    <row r="3" spans="1:19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>
      <c r="A5" s="56" t="s">
        <v>409</v>
      </c>
      <c r="B5" s="57"/>
      <c r="C5" s="57"/>
      <c r="D5" s="58"/>
      <c r="E5" s="59" t="e">
        <v>#REF!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/>
    </row>
    <row r="6" spans="1:19">
      <c r="A6" s="56" t="s">
        <v>468</v>
      </c>
      <c r="B6" s="57"/>
      <c r="C6" s="57"/>
      <c r="D6" s="58"/>
      <c r="E6" s="59" t="e">
        <v>#REF!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19">
      <c r="A7" s="56" t="s">
        <v>560</v>
      </c>
      <c r="B7" s="57"/>
      <c r="C7" s="57"/>
      <c r="D7" s="58"/>
      <c r="E7" s="59" t="e">
        <v>#REF!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>
      <c r="A8" s="56" t="s">
        <v>561</v>
      </c>
      <c r="B8" s="57"/>
      <c r="C8" s="57"/>
      <c r="D8" s="58"/>
      <c r="E8" s="61" t="s">
        <v>410</v>
      </c>
      <c r="F8" s="62">
        <v>4000000000</v>
      </c>
      <c r="G8" s="61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</row>
    <row r="9" spans="1:19" ht="15" thickBo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15.75" thickBot="1">
      <c r="A10" s="1938" t="s">
        <v>562</v>
      </c>
      <c r="B10" s="1939"/>
      <c r="C10" s="1939"/>
      <c r="D10" s="1939"/>
      <c r="E10" s="63"/>
      <c r="F10" s="64" t="s">
        <v>563</v>
      </c>
      <c r="G10" s="1940" t="s">
        <v>564</v>
      </c>
      <c r="H10" s="1939"/>
      <c r="I10" s="1939"/>
      <c r="J10" s="1939"/>
      <c r="K10" s="1939"/>
      <c r="L10" s="1939"/>
      <c r="M10" s="1939"/>
      <c r="N10" s="1939"/>
      <c r="O10" s="1939"/>
      <c r="P10" s="1939"/>
      <c r="Q10" s="1939"/>
      <c r="R10" s="1941"/>
      <c r="S10" s="65" t="s">
        <v>565</v>
      </c>
    </row>
    <row r="11" spans="1:19" ht="15.75" thickTop="1">
      <c r="A11" s="66"/>
      <c r="B11" s="67"/>
      <c r="C11" s="67"/>
      <c r="D11" s="67"/>
      <c r="E11" s="67"/>
      <c r="F11" s="68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9"/>
    </row>
    <row r="12" spans="1:19">
      <c r="A12" s="1942" t="s">
        <v>566</v>
      </c>
      <c r="B12" s="1943"/>
      <c r="C12" s="1943"/>
      <c r="D12" s="1943"/>
      <c r="E12" s="70"/>
      <c r="F12" s="71" t="s">
        <v>567</v>
      </c>
      <c r="G12" s="72"/>
      <c r="H12" s="72"/>
      <c r="I12" s="73">
        <v>0.21</v>
      </c>
      <c r="J12" s="72" t="s">
        <v>96</v>
      </c>
      <c r="K12" s="72" t="s">
        <v>568</v>
      </c>
      <c r="L12" s="72"/>
      <c r="M12" s="74" t="s">
        <v>562</v>
      </c>
      <c r="N12" s="74"/>
      <c r="O12" s="74"/>
      <c r="P12" s="74"/>
      <c r="Q12" s="74"/>
      <c r="R12" s="74"/>
      <c r="S12" s="75"/>
    </row>
    <row r="13" spans="1:19">
      <c r="A13" s="76"/>
      <c r="B13" s="77"/>
      <c r="C13" s="74"/>
      <c r="D13" s="77"/>
      <c r="E13" s="72"/>
      <c r="F13" s="71"/>
      <c r="G13" s="72"/>
      <c r="H13" s="72"/>
      <c r="I13" s="73">
        <v>0.21</v>
      </c>
      <c r="J13" s="72" t="s">
        <v>96</v>
      </c>
      <c r="K13" s="72" t="s">
        <v>568</v>
      </c>
      <c r="L13" s="72"/>
      <c r="M13" s="74">
        <v>100000000</v>
      </c>
      <c r="N13" s="74"/>
      <c r="O13" s="74"/>
      <c r="P13" s="74"/>
      <c r="Q13" s="74" t="s">
        <v>569</v>
      </c>
      <c r="R13" s="74">
        <f>+I13%*M13</f>
        <v>210000</v>
      </c>
      <c r="S13" s="75" t="s">
        <v>570</v>
      </c>
    </row>
    <row r="14" spans="1:19">
      <c r="A14" s="76"/>
      <c r="B14" s="77"/>
      <c r="C14" s="74"/>
      <c r="D14" s="77"/>
      <c r="E14" s="72"/>
      <c r="F14" s="71"/>
      <c r="G14" s="72"/>
      <c r="H14" s="72"/>
      <c r="I14" s="73"/>
      <c r="J14" s="72"/>
      <c r="K14" s="72"/>
      <c r="L14" s="72"/>
      <c r="M14" s="74"/>
      <c r="N14" s="74"/>
      <c r="O14" s="74"/>
      <c r="P14" s="74"/>
      <c r="Q14" s="74"/>
      <c r="R14" s="74"/>
      <c r="S14" s="75"/>
    </row>
    <row r="15" spans="1:19">
      <c r="A15" s="1935" t="s">
        <v>571</v>
      </c>
      <c r="B15" s="1936"/>
      <c r="C15" s="1936"/>
      <c r="D15" s="1936"/>
      <c r="E15" s="70"/>
      <c r="F15" s="71" t="s">
        <v>567</v>
      </c>
      <c r="G15" s="72" t="str">
        <f>S13</f>
        <v>(A)</v>
      </c>
      <c r="H15" s="72" t="s">
        <v>572</v>
      </c>
      <c r="I15" s="73">
        <v>0.17</v>
      </c>
      <c r="J15" s="72" t="s">
        <v>96</v>
      </c>
      <c r="K15" s="72" t="s">
        <v>568</v>
      </c>
      <c r="L15" s="72" t="s">
        <v>573</v>
      </c>
      <c r="M15" s="74" t="s">
        <v>562</v>
      </c>
      <c r="N15" s="74" t="s">
        <v>546</v>
      </c>
      <c r="O15" s="74">
        <v>100000000</v>
      </c>
      <c r="P15" s="74" t="s">
        <v>574</v>
      </c>
      <c r="Q15" s="74"/>
      <c r="R15" s="74"/>
      <c r="S15" s="75"/>
    </row>
    <row r="16" spans="1:19">
      <c r="A16" s="78"/>
      <c r="B16" s="77"/>
      <c r="C16" s="74"/>
      <c r="D16" s="77"/>
      <c r="E16" s="72"/>
      <c r="F16" s="71"/>
      <c r="G16" s="74">
        <v>210000</v>
      </c>
      <c r="H16" s="72" t="s">
        <v>572</v>
      </c>
      <c r="I16" s="73">
        <v>0.17</v>
      </c>
      <c r="J16" s="72" t="s">
        <v>96</v>
      </c>
      <c r="K16" s="72" t="s">
        <v>568</v>
      </c>
      <c r="L16" s="72" t="s">
        <v>573</v>
      </c>
      <c r="M16" s="74">
        <v>500000000</v>
      </c>
      <c r="N16" s="74" t="s">
        <v>546</v>
      </c>
      <c r="O16" s="74">
        <v>100000000</v>
      </c>
      <c r="P16" s="74" t="s">
        <v>574</v>
      </c>
      <c r="Q16" s="74" t="s">
        <v>569</v>
      </c>
      <c r="R16" s="74">
        <f>G16+(I16%*(M16-O16))</f>
        <v>890000</v>
      </c>
      <c r="S16" s="75" t="s">
        <v>575</v>
      </c>
    </row>
    <row r="17" spans="1:19">
      <c r="A17" s="78"/>
      <c r="B17" s="77"/>
      <c r="C17" s="74"/>
      <c r="D17" s="77"/>
      <c r="E17" s="72"/>
      <c r="F17" s="71"/>
      <c r="G17" s="74"/>
      <c r="H17" s="72"/>
      <c r="I17" s="73"/>
      <c r="J17" s="72"/>
      <c r="K17" s="72"/>
      <c r="L17" s="72"/>
      <c r="M17" s="74"/>
      <c r="N17" s="74"/>
      <c r="O17" s="74"/>
      <c r="P17" s="74"/>
      <c r="Q17" s="74"/>
      <c r="R17" s="74"/>
      <c r="S17" s="75"/>
    </row>
    <row r="18" spans="1:19">
      <c r="A18" s="1935" t="s">
        <v>576</v>
      </c>
      <c r="B18" s="1936"/>
      <c r="C18" s="1936"/>
      <c r="D18" s="1936"/>
      <c r="E18" s="70"/>
      <c r="F18" s="71" t="s">
        <v>567</v>
      </c>
      <c r="G18" s="72" t="str">
        <f>S16</f>
        <v>(B)</v>
      </c>
      <c r="H18" s="72" t="s">
        <v>572</v>
      </c>
      <c r="I18" s="73">
        <v>0.13</v>
      </c>
      <c r="J18" s="72" t="s">
        <v>96</v>
      </c>
      <c r="K18" s="72" t="s">
        <v>568</v>
      </c>
      <c r="L18" s="72" t="s">
        <v>573</v>
      </c>
      <c r="M18" s="74" t="s">
        <v>562</v>
      </c>
      <c r="N18" s="74" t="s">
        <v>546</v>
      </c>
      <c r="O18" s="74">
        <v>500000000</v>
      </c>
      <c r="P18" s="74" t="s">
        <v>574</v>
      </c>
      <c r="Q18" s="74"/>
      <c r="R18" s="74"/>
      <c r="S18" s="75"/>
    </row>
    <row r="19" spans="1:19" ht="15">
      <c r="A19" s="78"/>
      <c r="B19" s="77"/>
      <c r="C19" s="74"/>
      <c r="D19" s="77"/>
      <c r="E19" s="72"/>
      <c r="F19" s="71"/>
      <c r="G19" s="74">
        <f>R16</f>
        <v>890000</v>
      </c>
      <c r="H19" s="72" t="s">
        <v>572</v>
      </c>
      <c r="I19" s="73">
        <v>0.13</v>
      </c>
      <c r="J19" s="72" t="s">
        <v>96</v>
      </c>
      <c r="K19" s="72" t="s">
        <v>568</v>
      </c>
      <c r="L19" s="72" t="s">
        <v>573</v>
      </c>
      <c r="M19" s="74">
        <v>1000000000</v>
      </c>
      <c r="N19" s="74" t="s">
        <v>546</v>
      </c>
      <c r="O19" s="74">
        <v>500000000</v>
      </c>
      <c r="P19" s="74" t="s">
        <v>574</v>
      </c>
      <c r="Q19" s="74" t="s">
        <v>569</v>
      </c>
      <c r="R19" s="79">
        <f>G19+(I19%*(M19-O19))</f>
        <v>1540000</v>
      </c>
      <c r="S19" s="75" t="s">
        <v>577</v>
      </c>
    </row>
    <row r="20" spans="1:19">
      <c r="A20" s="78"/>
      <c r="B20" s="77"/>
      <c r="C20" s="74"/>
      <c r="D20" s="77"/>
      <c r="E20" s="72"/>
      <c r="F20" s="71"/>
      <c r="G20" s="74"/>
      <c r="H20" s="72"/>
      <c r="I20" s="73"/>
      <c r="J20" s="72"/>
      <c r="K20" s="72"/>
      <c r="L20" s="72"/>
      <c r="M20" s="74"/>
      <c r="N20" s="74"/>
      <c r="O20" s="74"/>
      <c r="P20" s="74"/>
      <c r="Q20" s="74"/>
      <c r="R20" s="74"/>
      <c r="S20" s="75"/>
    </row>
    <row r="21" spans="1:19" ht="15">
      <c r="A21" s="1935" t="s">
        <v>578</v>
      </c>
      <c r="B21" s="1936"/>
      <c r="C21" s="1936"/>
      <c r="D21" s="1936"/>
      <c r="E21" s="70"/>
      <c r="F21" s="71" t="s">
        <v>567</v>
      </c>
      <c r="G21" s="74">
        <f>R19</f>
        <v>1540000</v>
      </c>
      <c r="H21" s="72" t="s">
        <v>572</v>
      </c>
      <c r="I21" s="73">
        <v>0.11</v>
      </c>
      <c r="J21" s="72" t="s">
        <v>96</v>
      </c>
      <c r="K21" s="72" t="s">
        <v>568</v>
      </c>
      <c r="L21" s="72" t="s">
        <v>573</v>
      </c>
      <c r="M21" s="74">
        <f>F8</f>
        <v>4000000000</v>
      </c>
      <c r="N21" s="74" t="s">
        <v>546</v>
      </c>
      <c r="O21" s="74">
        <v>1000000000</v>
      </c>
      <c r="P21" s="74" t="s">
        <v>574</v>
      </c>
      <c r="Q21" s="74"/>
      <c r="R21" s="79">
        <f>G21+(I21%*(M21-O21))</f>
        <v>4840000</v>
      </c>
      <c r="S21" s="75"/>
    </row>
    <row r="22" spans="1:19">
      <c r="A22" s="78"/>
      <c r="B22" s="72"/>
      <c r="C22" s="72"/>
      <c r="D22" s="72"/>
      <c r="E22" s="80"/>
      <c r="F22" s="71"/>
      <c r="G22" s="72"/>
      <c r="H22" s="72"/>
      <c r="I22" s="73"/>
      <c r="J22" s="72"/>
      <c r="K22" s="72"/>
      <c r="L22" s="72"/>
      <c r="M22" s="74"/>
      <c r="N22" s="74"/>
      <c r="O22" s="74"/>
      <c r="P22" s="74"/>
      <c r="Q22" s="74"/>
      <c r="R22" s="74"/>
      <c r="S22" s="75" t="s">
        <v>579</v>
      </c>
    </row>
    <row r="23" spans="1:19">
      <c r="A23" s="78"/>
      <c r="B23" s="77"/>
      <c r="C23" s="74"/>
      <c r="D23" s="77"/>
      <c r="E23" s="72"/>
      <c r="F23" s="71"/>
      <c r="G23" s="72"/>
      <c r="H23" s="72"/>
      <c r="I23" s="73"/>
      <c r="J23" s="72"/>
      <c r="K23" s="72"/>
      <c r="L23" s="72"/>
      <c r="M23" s="74"/>
      <c r="N23" s="74"/>
      <c r="O23" s="74"/>
      <c r="P23" s="74"/>
      <c r="Q23" s="74"/>
      <c r="R23" s="74"/>
      <c r="S23" s="75"/>
    </row>
    <row r="24" spans="1:19">
      <c r="A24" s="1935" t="s">
        <v>580</v>
      </c>
      <c r="B24" s="1936"/>
      <c r="C24" s="1936"/>
      <c r="D24" s="1936"/>
      <c r="E24" s="81"/>
      <c r="F24" s="82" t="s">
        <v>567</v>
      </c>
      <c r="G24" s="81">
        <f>S21</f>
        <v>0</v>
      </c>
      <c r="H24" s="81" t="s">
        <v>572</v>
      </c>
      <c r="I24" s="83">
        <v>0.09</v>
      </c>
      <c r="J24" s="81" t="s">
        <v>96</v>
      </c>
      <c r="K24" s="81" t="s">
        <v>568</v>
      </c>
      <c r="L24" s="72" t="s">
        <v>573</v>
      </c>
      <c r="M24" s="74" t="s">
        <v>562</v>
      </c>
      <c r="N24" s="74" t="s">
        <v>546</v>
      </c>
      <c r="O24" s="74">
        <v>5000000000</v>
      </c>
      <c r="P24" s="74" t="s">
        <v>574</v>
      </c>
      <c r="Q24" s="84"/>
      <c r="R24" s="84"/>
      <c r="S24" s="85"/>
    </row>
    <row r="25" spans="1:19" ht="15" thickBot="1">
      <c r="A25" s="86"/>
      <c r="B25" s="87"/>
      <c r="C25" s="88"/>
      <c r="D25" s="87"/>
      <c r="E25" s="89"/>
      <c r="F25" s="90"/>
      <c r="G25" s="89"/>
      <c r="H25" s="89"/>
      <c r="I25" s="91"/>
      <c r="J25" s="89"/>
      <c r="K25" s="89"/>
      <c r="L25" s="89"/>
      <c r="M25" s="88"/>
      <c r="N25" s="88"/>
      <c r="O25" s="88"/>
      <c r="P25" s="88"/>
      <c r="Q25" s="88"/>
      <c r="R25" s="88"/>
      <c r="S25" s="92"/>
    </row>
    <row r="26" spans="1:19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</row>
  </sheetData>
  <mergeCells count="9">
    <mergeCell ref="A18:D18"/>
    <mergeCell ref="A21:D21"/>
    <mergeCell ref="A24:D24"/>
    <mergeCell ref="A1:S1"/>
    <mergeCell ref="A2:S2"/>
    <mergeCell ref="A10:D10"/>
    <mergeCell ref="G10:R10"/>
    <mergeCell ref="A12:D12"/>
    <mergeCell ref="A15:D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28"/>
  <sheetViews>
    <sheetView tabSelected="1" workbookViewId="0">
      <selection activeCell="C3" sqref="C3:I78"/>
    </sheetView>
  </sheetViews>
  <sheetFormatPr defaultRowHeight="14.25"/>
  <cols>
    <col min="3" max="3" width="3.875" bestFit="1" customWidth="1"/>
    <col min="4" max="4" width="38.125" customWidth="1"/>
    <col min="7" max="7" width="12.625" bestFit="1" customWidth="1"/>
    <col min="8" max="8" width="16.25" bestFit="1" customWidth="1"/>
  </cols>
  <sheetData>
    <row r="3" spans="3:9">
      <c r="C3" s="1949" t="s">
        <v>0</v>
      </c>
      <c r="D3" s="1949" t="s">
        <v>412</v>
      </c>
      <c r="E3" s="1949" t="s">
        <v>413</v>
      </c>
      <c r="F3" s="1949" t="s">
        <v>414</v>
      </c>
      <c r="G3" s="1950" t="s">
        <v>1087</v>
      </c>
      <c r="H3" s="1950" t="s">
        <v>1088</v>
      </c>
      <c r="I3" s="1950" t="s">
        <v>96</v>
      </c>
    </row>
    <row r="4" spans="3:9">
      <c r="C4" s="1948">
        <v>86</v>
      </c>
      <c r="D4" s="1948" t="s">
        <v>823</v>
      </c>
      <c r="E4" s="1948">
        <v>470.64000000000004</v>
      </c>
      <c r="F4" s="1948" t="s">
        <v>450</v>
      </c>
      <c r="G4" s="1954">
        <v>650000</v>
      </c>
      <c r="H4" s="1954">
        <v>305916000</v>
      </c>
      <c r="I4" s="1955">
        <f>H4/$H$128*100</f>
        <v>27.19927283073892</v>
      </c>
    </row>
    <row r="5" spans="3:9">
      <c r="C5" s="1948">
        <v>90</v>
      </c>
      <c r="D5" s="1948" t="s">
        <v>828</v>
      </c>
      <c r="E5" s="1948">
        <v>591.31732217234594</v>
      </c>
      <c r="F5" s="1948" t="s">
        <v>450</v>
      </c>
      <c r="G5" s="1954">
        <v>169548.5</v>
      </c>
      <c r="H5" s="1954">
        <v>100256964.998338</v>
      </c>
      <c r="I5" s="1955">
        <f t="shared" ref="I5:I68" si="0">H5/$H$128*100</f>
        <v>8.9139389380471687</v>
      </c>
    </row>
    <row r="6" spans="3:9">
      <c r="C6" s="1948">
        <v>97</v>
      </c>
      <c r="D6" s="1948" t="s">
        <v>832</v>
      </c>
      <c r="E6" s="1948">
        <v>448.07499999999993</v>
      </c>
      <c r="F6" s="1948" t="s">
        <v>450</v>
      </c>
      <c r="G6" s="1954">
        <v>155441</v>
      </c>
      <c r="H6" s="1954">
        <v>69649226.074999988</v>
      </c>
      <c r="I6" s="1955">
        <f t="shared" si="0"/>
        <v>6.1925767284605575</v>
      </c>
    </row>
    <row r="7" spans="3:9">
      <c r="C7" s="1948">
        <v>94</v>
      </c>
      <c r="D7" s="1948" t="s">
        <v>1039</v>
      </c>
      <c r="E7" s="1948">
        <v>252.21750000000003</v>
      </c>
      <c r="F7" s="1948" t="s">
        <v>450</v>
      </c>
      <c r="G7" s="1954">
        <v>254324.84</v>
      </c>
      <c r="H7" s="1954">
        <v>64145175.332700007</v>
      </c>
      <c r="I7" s="1955">
        <f t="shared" si="0"/>
        <v>5.7032065163302725</v>
      </c>
    </row>
    <row r="8" spans="3:9">
      <c r="C8" s="1948">
        <v>46</v>
      </c>
      <c r="D8" s="1948" t="s">
        <v>809</v>
      </c>
      <c r="E8" s="1948">
        <v>746.2589999999999</v>
      </c>
      <c r="F8" s="1948" t="s">
        <v>450</v>
      </c>
      <c r="G8" s="1954">
        <v>33218.9</v>
      </c>
      <c r="H8" s="1954">
        <v>24789903.095099997</v>
      </c>
      <c r="I8" s="1955">
        <f t="shared" si="0"/>
        <v>2.2040930769597011</v>
      </c>
    </row>
    <row r="9" spans="3:9">
      <c r="C9" s="1948">
        <v>111</v>
      </c>
      <c r="D9" s="1948" t="s">
        <v>911</v>
      </c>
      <c r="E9" s="1948">
        <v>720.01499999999999</v>
      </c>
      <c r="F9" s="1948" t="s">
        <v>450</v>
      </c>
      <c r="G9" s="1954">
        <v>33218.9</v>
      </c>
      <c r="H9" s="1954">
        <v>23918106.283500001</v>
      </c>
      <c r="I9" s="1955">
        <f t="shared" si="0"/>
        <v>2.1265808208773893</v>
      </c>
    </row>
    <row r="10" spans="3:9">
      <c r="C10" s="1948">
        <v>87</v>
      </c>
      <c r="D10" s="1948" t="s">
        <v>824</v>
      </c>
      <c r="E10" s="1948">
        <v>186.4</v>
      </c>
      <c r="F10" s="1948" t="s">
        <v>453</v>
      </c>
      <c r="G10" s="1954">
        <v>120000</v>
      </c>
      <c r="H10" s="1954">
        <v>22368000</v>
      </c>
      <c r="I10" s="1955">
        <f t="shared" si="0"/>
        <v>1.9887594459850684</v>
      </c>
    </row>
    <row r="11" spans="3:9">
      <c r="C11" s="1948">
        <v>99</v>
      </c>
      <c r="D11" s="1948" t="s">
        <v>958</v>
      </c>
      <c r="E11" s="1948">
        <v>171.08749999999998</v>
      </c>
      <c r="F11" s="1948" t="s">
        <v>450</v>
      </c>
      <c r="G11" s="1954">
        <v>127059.9</v>
      </c>
      <c r="H11" s="1954">
        <v>21738360.641249996</v>
      </c>
      <c r="I11" s="1955">
        <f t="shared" si="0"/>
        <v>1.9327776316843686</v>
      </c>
    </row>
    <row r="12" spans="3:9">
      <c r="C12" s="1948">
        <v>48</v>
      </c>
      <c r="D12" s="1948" t="s">
        <v>954</v>
      </c>
      <c r="E12" s="1948">
        <v>564.57599999999991</v>
      </c>
      <c r="F12" s="1948" t="s">
        <v>450</v>
      </c>
      <c r="G12" s="1954">
        <v>33218.9</v>
      </c>
      <c r="H12" s="1954">
        <v>18754593.686399996</v>
      </c>
      <c r="I12" s="1955">
        <f t="shared" si="0"/>
        <v>1.6674881683404825</v>
      </c>
    </row>
    <row r="13" spans="3:9">
      <c r="C13" s="1948">
        <v>88</v>
      </c>
      <c r="D13" s="1948" t="s">
        <v>912</v>
      </c>
      <c r="E13" s="1948">
        <v>93.2</v>
      </c>
      <c r="F13" s="1948" t="s">
        <v>453</v>
      </c>
      <c r="G13" s="1954">
        <v>182237</v>
      </c>
      <c r="H13" s="1954">
        <v>16984488.400000002</v>
      </c>
      <c r="I13" s="1955">
        <f t="shared" si="0"/>
        <v>1.5101064798249206</v>
      </c>
    </row>
    <row r="14" spans="3:9">
      <c r="C14" s="1948">
        <v>79</v>
      </c>
      <c r="D14" s="1948" t="s">
        <v>795</v>
      </c>
      <c r="E14" s="1948">
        <v>14.4992</v>
      </c>
      <c r="F14" s="1948" t="s">
        <v>450</v>
      </c>
      <c r="G14" s="1954">
        <v>1139325</v>
      </c>
      <c r="H14" s="1954">
        <v>16519301.040000001</v>
      </c>
      <c r="I14" s="1955">
        <f t="shared" si="0"/>
        <v>1.46874624393647</v>
      </c>
    </row>
    <row r="15" spans="3:9">
      <c r="C15" s="1948">
        <v>113</v>
      </c>
      <c r="D15" s="1948" t="s">
        <v>484</v>
      </c>
      <c r="E15" s="1948">
        <v>41</v>
      </c>
      <c r="F15" s="1948" t="s">
        <v>8</v>
      </c>
      <c r="G15" s="1954">
        <v>390571.5</v>
      </c>
      <c r="H15" s="1954">
        <v>16013431.5</v>
      </c>
      <c r="I15" s="1955">
        <f t="shared" si="0"/>
        <v>1.423768918019485</v>
      </c>
    </row>
    <row r="16" spans="3:9">
      <c r="C16" s="1948">
        <v>84</v>
      </c>
      <c r="D16" s="1948" t="s">
        <v>977</v>
      </c>
      <c r="E16" s="1948">
        <v>92.400999999999996</v>
      </c>
      <c r="F16" s="1948" t="s">
        <v>450</v>
      </c>
      <c r="G16" s="1954">
        <v>171515.95999999996</v>
      </c>
      <c r="H16" s="1954">
        <v>15848246.219959997</v>
      </c>
      <c r="I16" s="1955">
        <f t="shared" si="0"/>
        <v>1.4090821428935352</v>
      </c>
    </row>
    <row r="17" spans="3:9">
      <c r="C17" s="1948">
        <v>83</v>
      </c>
      <c r="D17" s="1948" t="s">
        <v>979</v>
      </c>
      <c r="E17" s="1948">
        <v>92.400999999999996</v>
      </c>
      <c r="F17" s="1948" t="s">
        <v>450</v>
      </c>
      <c r="G17" s="1954">
        <v>165506</v>
      </c>
      <c r="H17" s="1954">
        <v>15292919.905999999</v>
      </c>
      <c r="I17" s="1955">
        <f t="shared" si="0"/>
        <v>1.3597075697313386</v>
      </c>
    </row>
    <row r="18" spans="3:9">
      <c r="C18" s="1948">
        <v>98</v>
      </c>
      <c r="D18" s="1948" t="s">
        <v>833</v>
      </c>
      <c r="E18" s="1948">
        <v>276.98749999999995</v>
      </c>
      <c r="F18" s="1948" t="s">
        <v>450</v>
      </c>
      <c r="G18" s="1954">
        <v>54046.3</v>
      </c>
      <c r="H18" s="1954">
        <v>14970149.521249998</v>
      </c>
      <c r="I18" s="1955">
        <f t="shared" si="0"/>
        <v>1.3310097580559184</v>
      </c>
    </row>
    <row r="19" spans="3:9">
      <c r="C19" s="1948">
        <v>123</v>
      </c>
      <c r="D19" s="1948" t="s">
        <v>550</v>
      </c>
      <c r="E19" s="1948">
        <v>2</v>
      </c>
      <c r="F19" s="1948" t="s">
        <v>835</v>
      </c>
      <c r="G19" s="1954">
        <v>7341023</v>
      </c>
      <c r="H19" s="1954">
        <v>14682046</v>
      </c>
      <c r="I19" s="1955">
        <f t="shared" si="0"/>
        <v>1.3053942090883086</v>
      </c>
    </row>
    <row r="20" spans="3:9">
      <c r="C20" s="1948">
        <v>91</v>
      </c>
      <c r="D20" s="1948" t="s">
        <v>861</v>
      </c>
      <c r="E20" s="1948">
        <v>65.562207646771441</v>
      </c>
      <c r="F20" s="1948" t="s">
        <v>453</v>
      </c>
      <c r="G20" s="1954">
        <v>202816.9</v>
      </c>
      <c r="H20" s="1954">
        <v>13297123.712074479</v>
      </c>
      <c r="I20" s="1955">
        <f t="shared" si="0"/>
        <v>1.1822594951189269</v>
      </c>
    </row>
    <row r="21" spans="3:9">
      <c r="C21" s="1948">
        <v>28</v>
      </c>
      <c r="D21" s="1948" t="s">
        <v>977</v>
      </c>
      <c r="E21" s="1948">
        <v>76.724000000000004</v>
      </c>
      <c r="F21" s="1948" t="s">
        <v>450</v>
      </c>
      <c r="G21" s="1954">
        <v>171515.95999999996</v>
      </c>
      <c r="H21" s="1954">
        <v>13159390.515039997</v>
      </c>
      <c r="I21" s="1955">
        <f t="shared" si="0"/>
        <v>1.1700135099334812</v>
      </c>
    </row>
    <row r="22" spans="3:9">
      <c r="C22" s="1948">
        <v>29</v>
      </c>
      <c r="D22" s="1948" t="s">
        <v>1039</v>
      </c>
      <c r="E22" s="1948">
        <v>45.732500000000002</v>
      </c>
      <c r="F22" s="1948" t="s">
        <v>450</v>
      </c>
      <c r="G22" s="1954">
        <v>254324.84</v>
      </c>
      <c r="H22" s="1954">
        <v>11630910.745300001</v>
      </c>
      <c r="I22" s="1955">
        <f t="shared" si="0"/>
        <v>1.0341149682637969</v>
      </c>
    </row>
    <row r="23" spans="3:9">
      <c r="C23" s="1948">
        <v>112</v>
      </c>
      <c r="D23" s="1948" t="s">
        <v>910</v>
      </c>
      <c r="E23" s="1948">
        <v>276.98749999999995</v>
      </c>
      <c r="F23" s="1948" t="s">
        <v>450</v>
      </c>
      <c r="G23" s="1954">
        <v>39794.699999999997</v>
      </c>
      <c r="H23" s="1954">
        <v>11022634.466249997</v>
      </c>
      <c r="I23" s="1955">
        <f t="shared" si="0"/>
        <v>0.98003256502124747</v>
      </c>
    </row>
    <row r="24" spans="3:9">
      <c r="C24" s="1948">
        <v>49</v>
      </c>
      <c r="D24" s="1948" t="s">
        <v>484</v>
      </c>
      <c r="E24" s="1948">
        <v>25</v>
      </c>
      <c r="F24" s="1948" t="s">
        <v>8</v>
      </c>
      <c r="G24" s="1954">
        <v>390571.5</v>
      </c>
      <c r="H24" s="1954">
        <v>9764287.5</v>
      </c>
      <c r="I24" s="1955">
        <f t="shared" si="0"/>
        <v>0.86815177928017373</v>
      </c>
    </row>
    <row r="25" spans="3:9">
      <c r="C25" s="1948">
        <v>108</v>
      </c>
      <c r="D25" s="1948" t="s">
        <v>972</v>
      </c>
      <c r="E25" s="1948">
        <v>154.70089999999999</v>
      </c>
      <c r="F25" s="1948" t="s">
        <v>450</v>
      </c>
      <c r="G25" s="1954">
        <v>62106</v>
      </c>
      <c r="H25" s="1954">
        <v>9607854.0954</v>
      </c>
      <c r="I25" s="1955">
        <f t="shared" si="0"/>
        <v>0.8542431414463999</v>
      </c>
    </row>
    <row r="26" spans="3:9">
      <c r="C26" s="1948">
        <v>114</v>
      </c>
      <c r="D26" s="1948" t="s">
        <v>485</v>
      </c>
      <c r="E26" s="1948">
        <v>37</v>
      </c>
      <c r="F26" s="1948" t="s">
        <v>8</v>
      </c>
      <c r="G26" s="1954">
        <v>247714.5</v>
      </c>
      <c r="H26" s="1954">
        <v>9165436.5</v>
      </c>
      <c r="I26" s="1955">
        <f t="shared" si="0"/>
        <v>0.81490738626391823</v>
      </c>
    </row>
    <row r="27" spans="3:9">
      <c r="C27" s="1948">
        <v>69</v>
      </c>
      <c r="D27" s="1948" t="s">
        <v>791</v>
      </c>
      <c r="E27" s="1948">
        <v>62.640000000000008</v>
      </c>
      <c r="F27" s="1948" t="s">
        <v>450</v>
      </c>
      <c r="G27" s="1954">
        <v>143302.5</v>
      </c>
      <c r="H27" s="1954">
        <v>8976468.6000000015</v>
      </c>
      <c r="I27" s="1955">
        <f t="shared" si="0"/>
        <v>0.7981060765306851</v>
      </c>
    </row>
    <row r="28" spans="3:9">
      <c r="C28" s="1948">
        <v>78</v>
      </c>
      <c r="D28" s="1948" t="s">
        <v>794</v>
      </c>
      <c r="E28" s="1948">
        <v>7.9981999999999998</v>
      </c>
      <c r="F28" s="1948" t="s">
        <v>450</v>
      </c>
      <c r="G28" s="1954">
        <v>1082097.5</v>
      </c>
      <c r="H28" s="1954">
        <v>8654832.2245000005</v>
      </c>
      <c r="I28" s="1955">
        <f t="shared" si="0"/>
        <v>0.76950909066033335</v>
      </c>
    </row>
    <row r="29" spans="3:9">
      <c r="C29" s="1948">
        <v>43</v>
      </c>
      <c r="D29" s="1948" t="s">
        <v>972</v>
      </c>
      <c r="E29" s="1948">
        <v>138.11360000000002</v>
      </c>
      <c r="F29" s="1948" t="s">
        <v>450</v>
      </c>
      <c r="G29" s="1954">
        <v>62106</v>
      </c>
      <c r="H29" s="1954">
        <v>8577683.2416000012</v>
      </c>
      <c r="I29" s="1955">
        <f t="shared" si="0"/>
        <v>0.76264970365700213</v>
      </c>
    </row>
    <row r="30" spans="3:9">
      <c r="C30" s="1948">
        <v>89</v>
      </c>
      <c r="D30" s="1948" t="s">
        <v>913</v>
      </c>
      <c r="E30" s="1948">
        <v>93.2</v>
      </c>
      <c r="F30" s="1948" t="s">
        <v>453</v>
      </c>
      <c r="G30" s="1954">
        <v>91118.5</v>
      </c>
      <c r="H30" s="1954">
        <v>8492244.2000000011</v>
      </c>
      <c r="I30" s="1955">
        <f t="shared" si="0"/>
        <v>0.75505323991246032</v>
      </c>
    </row>
    <row r="31" spans="3:9">
      <c r="C31" s="1948">
        <v>75</v>
      </c>
      <c r="D31" s="1948" t="s">
        <v>1077</v>
      </c>
      <c r="E31" s="1948">
        <v>482.37577142857145</v>
      </c>
      <c r="F31" s="1948" t="s">
        <v>14</v>
      </c>
      <c r="G31" s="1954">
        <v>16855.52</v>
      </c>
      <c r="H31" s="1954">
        <v>8130694.4628297146</v>
      </c>
      <c r="I31" s="1955">
        <f t="shared" si="0"/>
        <v>0.72290752035814931</v>
      </c>
    </row>
    <row r="32" spans="3:9">
      <c r="C32" s="1948">
        <v>23</v>
      </c>
      <c r="D32" s="1948" t="s">
        <v>898</v>
      </c>
      <c r="E32" s="1948">
        <v>6.3040000000000003</v>
      </c>
      <c r="F32" s="1948" t="s">
        <v>450</v>
      </c>
      <c r="G32" s="1954">
        <v>1267699.4000000001</v>
      </c>
      <c r="H32" s="1954">
        <v>7991577.0176000008</v>
      </c>
      <c r="I32" s="1955">
        <f t="shared" si="0"/>
        <v>0.71053846039293556</v>
      </c>
    </row>
    <row r="33" spans="3:9">
      <c r="C33" s="1948">
        <v>110</v>
      </c>
      <c r="D33" s="1948" t="s">
        <v>917</v>
      </c>
      <c r="E33" s="1948">
        <v>184.80199999999999</v>
      </c>
      <c r="F33" s="1948" t="s">
        <v>450</v>
      </c>
      <c r="G33" s="1954">
        <v>42336.800000000003</v>
      </c>
      <c r="H33" s="1954">
        <v>7823925.3136</v>
      </c>
      <c r="I33" s="1955">
        <f t="shared" si="0"/>
        <v>0.69563239324497883</v>
      </c>
    </row>
    <row r="34" spans="3:9">
      <c r="C34" s="1948">
        <v>70</v>
      </c>
      <c r="D34" s="1948" t="s">
        <v>792</v>
      </c>
      <c r="E34" s="1948">
        <v>125.30000000000001</v>
      </c>
      <c r="F34" s="1948" t="s">
        <v>450</v>
      </c>
      <c r="G34" s="1954">
        <v>62257.58</v>
      </c>
      <c r="H34" s="1954">
        <v>7800874.7740000011</v>
      </c>
      <c r="I34" s="1955">
        <f t="shared" si="0"/>
        <v>0.69358294857560521</v>
      </c>
    </row>
    <row r="35" spans="3:9">
      <c r="C35" s="1948">
        <v>22</v>
      </c>
      <c r="D35" s="1948" t="s">
        <v>943</v>
      </c>
      <c r="E35" s="1948">
        <v>27.900000000000002</v>
      </c>
      <c r="F35" s="1948" t="s">
        <v>453</v>
      </c>
      <c r="G35" s="1954">
        <v>257796</v>
      </c>
      <c r="H35" s="1954">
        <v>7192508.4000000004</v>
      </c>
      <c r="I35" s="1955">
        <f t="shared" si="0"/>
        <v>0.63949253490821489</v>
      </c>
    </row>
    <row r="36" spans="3:9">
      <c r="C36" s="1948">
        <v>24</v>
      </c>
      <c r="D36" s="1948" t="s">
        <v>795</v>
      </c>
      <c r="E36" s="1948">
        <v>6.3040000000000003</v>
      </c>
      <c r="F36" s="1948" t="s">
        <v>450</v>
      </c>
      <c r="G36" s="1954">
        <v>1139325</v>
      </c>
      <c r="H36" s="1954">
        <v>7182304.8000000007</v>
      </c>
      <c r="I36" s="1955">
        <f t="shared" si="0"/>
        <v>0.63858532345063923</v>
      </c>
    </row>
    <row r="37" spans="3:9">
      <c r="C37" s="1948">
        <v>44</v>
      </c>
      <c r="D37" s="1948" t="s">
        <v>973</v>
      </c>
      <c r="E37" s="1948">
        <v>78.34320000000001</v>
      </c>
      <c r="F37" s="1948" t="s">
        <v>450</v>
      </c>
      <c r="G37" s="1954">
        <v>87626</v>
      </c>
      <c r="H37" s="1954">
        <v>6864901.2432000013</v>
      </c>
      <c r="I37" s="1955">
        <f t="shared" si="0"/>
        <v>0.61036468138271815</v>
      </c>
    </row>
    <row r="38" spans="3:9">
      <c r="C38" s="1948">
        <v>61</v>
      </c>
      <c r="D38" s="1948" t="s">
        <v>762</v>
      </c>
      <c r="E38" s="1948">
        <v>2</v>
      </c>
      <c r="F38" s="1948" t="s">
        <v>7</v>
      </c>
      <c r="G38" s="1954">
        <v>3418580</v>
      </c>
      <c r="H38" s="1954">
        <v>6837160</v>
      </c>
      <c r="I38" s="1955">
        <f t="shared" si="0"/>
        <v>0.60789818194345802</v>
      </c>
    </row>
    <row r="39" spans="3:9">
      <c r="C39" s="1948">
        <v>76</v>
      </c>
      <c r="D39" s="1948" t="s">
        <v>644</v>
      </c>
      <c r="E39" s="1948">
        <v>37.6</v>
      </c>
      <c r="F39" s="1948" t="s">
        <v>450</v>
      </c>
      <c r="G39" s="1954">
        <v>179201</v>
      </c>
      <c r="H39" s="1954">
        <v>6737957.6000000006</v>
      </c>
      <c r="I39" s="1955">
        <f t="shared" si="0"/>
        <v>0.59907800534902</v>
      </c>
    </row>
    <row r="40" spans="3:9">
      <c r="C40" s="1948">
        <v>34</v>
      </c>
      <c r="D40" s="1948" t="s">
        <v>807</v>
      </c>
      <c r="E40" s="1948">
        <v>41.484500000000004</v>
      </c>
      <c r="F40" s="1948" t="s">
        <v>450</v>
      </c>
      <c r="G40" s="1954">
        <v>155441</v>
      </c>
      <c r="H40" s="1954">
        <v>6448392.1645000009</v>
      </c>
      <c r="I40" s="1955">
        <f t="shared" si="0"/>
        <v>0.57333247624130357</v>
      </c>
    </row>
    <row r="41" spans="3:9">
      <c r="C41" s="1948">
        <v>80</v>
      </c>
      <c r="D41" s="1948" t="s">
        <v>797</v>
      </c>
      <c r="E41" s="1948">
        <v>22.704999999999998</v>
      </c>
      <c r="F41" s="1948" t="s">
        <v>450</v>
      </c>
      <c r="G41" s="1954">
        <v>271342.50000000006</v>
      </c>
      <c r="H41" s="1954">
        <v>6160831.4625000013</v>
      </c>
      <c r="I41" s="1955">
        <f t="shared" si="0"/>
        <v>0.54776518983229971</v>
      </c>
    </row>
    <row r="42" spans="3:9">
      <c r="C42" s="1948">
        <v>45</v>
      </c>
      <c r="D42" s="1948" t="s">
        <v>917</v>
      </c>
      <c r="E42" s="1948">
        <v>153.44800000000001</v>
      </c>
      <c r="F42" s="1948" t="s">
        <v>450</v>
      </c>
      <c r="G42" s="1954">
        <v>39794.699999999997</v>
      </c>
      <c r="H42" s="1954">
        <v>6106417.1255999999</v>
      </c>
      <c r="I42" s="1955">
        <f t="shared" si="0"/>
        <v>0.5429271611079215</v>
      </c>
    </row>
    <row r="43" spans="3:9">
      <c r="C43" s="1948">
        <v>101</v>
      </c>
      <c r="D43" s="1948" t="s">
        <v>906</v>
      </c>
      <c r="E43" s="1948">
        <v>186.20000000000002</v>
      </c>
      <c r="F43" s="1948" t="s">
        <v>20</v>
      </c>
      <c r="G43" s="1954">
        <v>32407.1</v>
      </c>
      <c r="H43" s="1954">
        <v>6034202.0200000005</v>
      </c>
      <c r="I43" s="1955">
        <f t="shared" si="0"/>
        <v>0.53650644967172667</v>
      </c>
    </row>
    <row r="44" spans="3:9">
      <c r="C44" s="1948">
        <v>16</v>
      </c>
      <c r="D44" s="1948" t="s">
        <v>1086</v>
      </c>
      <c r="E44" s="1948">
        <v>1.5</v>
      </c>
      <c r="F44" s="1948" t="s">
        <v>442</v>
      </c>
      <c r="G44" s="1954">
        <v>4000000</v>
      </c>
      <c r="H44" s="1954">
        <v>6000000</v>
      </c>
      <c r="I44" s="1955">
        <f t="shared" si="0"/>
        <v>0.53346551662689601</v>
      </c>
    </row>
    <row r="45" spans="3:9">
      <c r="C45" s="1948">
        <v>120</v>
      </c>
      <c r="D45" s="1948" t="s">
        <v>817</v>
      </c>
      <c r="E45" s="1948">
        <v>35</v>
      </c>
      <c r="F45" s="1948" t="s">
        <v>8</v>
      </c>
      <c r="G45" s="1954">
        <v>167343</v>
      </c>
      <c r="H45" s="1954">
        <v>5857005</v>
      </c>
      <c r="I45" s="1955">
        <f t="shared" si="0"/>
        <v>0.52075169970188551</v>
      </c>
    </row>
    <row r="46" spans="3:9">
      <c r="C46" s="1948">
        <v>57</v>
      </c>
      <c r="D46" s="1948" t="s">
        <v>649</v>
      </c>
      <c r="E46" s="1948">
        <v>15</v>
      </c>
      <c r="F46" s="1948" t="s">
        <v>8</v>
      </c>
      <c r="G46" s="1954">
        <v>390000</v>
      </c>
      <c r="H46" s="1954">
        <v>5850000</v>
      </c>
      <c r="I46" s="1955">
        <f t="shared" si="0"/>
        <v>0.5201288787112236</v>
      </c>
    </row>
    <row r="47" spans="3:9">
      <c r="C47" s="1948">
        <v>124</v>
      </c>
      <c r="D47" s="1948" t="s">
        <v>1052</v>
      </c>
      <c r="E47" s="1948">
        <v>10.223999999999998</v>
      </c>
      <c r="F47" s="1948" t="s">
        <v>7</v>
      </c>
      <c r="G47" s="1954">
        <v>558200.5</v>
      </c>
      <c r="H47" s="1954">
        <v>5707041.9119999995</v>
      </c>
      <c r="I47" s="1955">
        <f t="shared" si="0"/>
        <v>0.5074183436660713</v>
      </c>
    </row>
    <row r="48" spans="3:9">
      <c r="C48" s="1948">
        <v>26</v>
      </c>
      <c r="D48" s="1948" t="s">
        <v>797</v>
      </c>
      <c r="E48" s="1948">
        <v>20.629999999999995</v>
      </c>
      <c r="F48" s="1948" t="s">
        <v>450</v>
      </c>
      <c r="G48" s="1954">
        <v>271342.50000000006</v>
      </c>
      <c r="H48" s="1954">
        <v>5597795.7750000004</v>
      </c>
      <c r="I48" s="1955">
        <f t="shared" si="0"/>
        <v>0.49770516918037183</v>
      </c>
    </row>
    <row r="49" spans="3:9">
      <c r="C49" s="1948">
        <v>95</v>
      </c>
      <c r="D49" s="1948" t="s">
        <v>1040</v>
      </c>
      <c r="E49" s="1948">
        <v>116.92999999999999</v>
      </c>
      <c r="F49" s="1948" t="s">
        <v>20</v>
      </c>
      <c r="G49" s="1954">
        <v>45513.93</v>
      </c>
      <c r="H49" s="1954">
        <v>5321943.8349000001</v>
      </c>
      <c r="I49" s="1955">
        <f t="shared" si="0"/>
        <v>0.47317891955737545</v>
      </c>
    </row>
    <row r="50" spans="3:9">
      <c r="C50" s="1948">
        <v>77</v>
      </c>
      <c r="D50" s="1948" t="s">
        <v>943</v>
      </c>
      <c r="E50" s="1948">
        <v>19.759999999999998</v>
      </c>
      <c r="F50" s="1948" t="s">
        <v>453</v>
      </c>
      <c r="G50" s="1954">
        <v>257796</v>
      </c>
      <c r="H50" s="1954">
        <v>5094048.959999999</v>
      </c>
      <c r="I50" s="1955">
        <f t="shared" si="0"/>
        <v>0.4529165766948503</v>
      </c>
    </row>
    <row r="51" spans="3:9">
      <c r="C51" s="1948">
        <v>50</v>
      </c>
      <c r="D51" s="1948" t="s">
        <v>485</v>
      </c>
      <c r="E51" s="1948">
        <v>20</v>
      </c>
      <c r="F51" s="1948" t="s">
        <v>8</v>
      </c>
      <c r="G51" s="1954">
        <v>247714.5</v>
      </c>
      <c r="H51" s="1954">
        <v>4954290</v>
      </c>
      <c r="I51" s="1955">
        <f t="shared" si="0"/>
        <v>0.44049047906157746</v>
      </c>
    </row>
    <row r="52" spans="3:9">
      <c r="C52" s="1948">
        <v>2</v>
      </c>
      <c r="D52" s="1948" t="s">
        <v>523</v>
      </c>
      <c r="E52" s="1948">
        <v>470.64000000000004</v>
      </c>
      <c r="F52" s="1948" t="s">
        <v>450</v>
      </c>
      <c r="G52" s="1954">
        <v>10500</v>
      </c>
      <c r="H52" s="1954">
        <v>4941720</v>
      </c>
      <c r="I52" s="1955">
        <f t="shared" si="0"/>
        <v>0.43937286880424409</v>
      </c>
    </row>
    <row r="53" spans="3:9">
      <c r="C53" s="1948">
        <v>31</v>
      </c>
      <c r="D53" s="1948" t="s">
        <v>962</v>
      </c>
      <c r="E53" s="1948">
        <v>16.574999999999999</v>
      </c>
      <c r="F53" s="1948" t="s">
        <v>450</v>
      </c>
      <c r="G53" s="1954">
        <v>269545.90666666668</v>
      </c>
      <c r="H53" s="1954">
        <v>4467723.4029999999</v>
      </c>
      <c r="I53" s="1955">
        <f t="shared" si="0"/>
        <v>0.39722939555457815</v>
      </c>
    </row>
    <row r="54" spans="3:9">
      <c r="C54" s="1948">
        <v>107</v>
      </c>
      <c r="D54" s="1948" t="s">
        <v>478</v>
      </c>
      <c r="E54" s="1948">
        <v>48</v>
      </c>
      <c r="F54" s="1948" t="s">
        <v>18</v>
      </c>
      <c r="G54" s="1954">
        <v>92455</v>
      </c>
      <c r="H54" s="1954">
        <v>4437840</v>
      </c>
      <c r="I54" s="1955">
        <f t="shared" si="0"/>
        <v>0.39457243471791736</v>
      </c>
    </row>
    <row r="55" spans="3:9">
      <c r="C55" s="1948">
        <v>68</v>
      </c>
      <c r="D55" s="1948" t="s">
        <v>1052</v>
      </c>
      <c r="E55" s="1948">
        <v>7.6479999999999997</v>
      </c>
      <c r="F55" s="1948" t="s">
        <v>450</v>
      </c>
      <c r="G55" s="1954">
        <v>558200.5</v>
      </c>
      <c r="H55" s="1954">
        <v>4269117.4239999996</v>
      </c>
      <c r="I55" s="1955">
        <f t="shared" si="0"/>
        <v>0.37957115535584052</v>
      </c>
    </row>
    <row r="56" spans="3:9">
      <c r="C56" s="1948">
        <v>32</v>
      </c>
      <c r="D56" s="1948" t="s">
        <v>908</v>
      </c>
      <c r="E56" s="1948">
        <v>15.057500000000005</v>
      </c>
      <c r="F56" s="1948" t="s">
        <v>450</v>
      </c>
      <c r="G56" s="1954">
        <v>269545.90666666668</v>
      </c>
      <c r="H56" s="1954">
        <v>4058687.4896333348</v>
      </c>
      <c r="I56" s="1955">
        <f t="shared" si="0"/>
        <v>0.36086163641406105</v>
      </c>
    </row>
    <row r="57" spans="3:9">
      <c r="C57" s="1948">
        <v>106</v>
      </c>
      <c r="D57" s="1948" t="s">
        <v>477</v>
      </c>
      <c r="E57" s="1948">
        <v>48</v>
      </c>
      <c r="F57" s="1948" t="s">
        <v>7</v>
      </c>
      <c r="G57" s="1954">
        <v>82897.100000000006</v>
      </c>
      <c r="H57" s="1954">
        <v>3979060.8000000003</v>
      </c>
      <c r="I57" s="1955">
        <f t="shared" si="0"/>
        <v>0.35378195422697167</v>
      </c>
    </row>
    <row r="58" spans="3:9">
      <c r="C58" s="1948">
        <v>109</v>
      </c>
      <c r="D58" s="1948" t="s">
        <v>973</v>
      </c>
      <c r="E58" s="1948">
        <v>42.580799999999996</v>
      </c>
      <c r="F58" s="1948" t="s">
        <v>450</v>
      </c>
      <c r="G58" s="1954">
        <v>87626</v>
      </c>
      <c r="H58" s="1954">
        <v>3731185.1807999997</v>
      </c>
      <c r="I58" s="1955">
        <f t="shared" si="0"/>
        <v>0.33174310501768167</v>
      </c>
    </row>
    <row r="59" spans="3:9">
      <c r="C59" s="1948">
        <v>100</v>
      </c>
      <c r="D59" s="1948" t="s">
        <v>905</v>
      </c>
      <c r="E59" s="1948">
        <v>137.69999999999999</v>
      </c>
      <c r="F59" s="1948" t="s">
        <v>20</v>
      </c>
      <c r="G59" s="1954">
        <v>25752.1</v>
      </c>
      <c r="H59" s="1954">
        <v>3546064.1699999995</v>
      </c>
      <c r="I59" s="1955">
        <f t="shared" si="0"/>
        <v>0.31528382574019581</v>
      </c>
    </row>
    <row r="60" spans="3:9">
      <c r="C60" s="1948">
        <v>42</v>
      </c>
      <c r="D60" s="1948" t="s">
        <v>478</v>
      </c>
      <c r="E60" s="1948">
        <v>38</v>
      </c>
      <c r="F60" s="1948" t="s">
        <v>18</v>
      </c>
      <c r="G60" s="1954">
        <v>92455</v>
      </c>
      <c r="H60" s="1954">
        <v>3513290</v>
      </c>
      <c r="I60" s="1955">
        <f t="shared" si="0"/>
        <v>0.31236984415168456</v>
      </c>
    </row>
    <row r="61" spans="3:9">
      <c r="C61" s="1948">
        <v>74</v>
      </c>
      <c r="D61" s="1948" t="s">
        <v>1047</v>
      </c>
      <c r="E61" s="1948">
        <v>2.82</v>
      </c>
      <c r="F61" s="1948" t="s">
        <v>422</v>
      </c>
      <c r="G61" s="1954">
        <v>1183114.1711626984</v>
      </c>
      <c r="H61" s="1954">
        <v>3336381.9626788092</v>
      </c>
      <c r="I61" s="1955">
        <f t="shared" si="0"/>
        <v>0.29664078789751802</v>
      </c>
    </row>
    <row r="62" spans="3:9">
      <c r="C62" s="1948">
        <v>81</v>
      </c>
      <c r="D62" s="1948" t="s">
        <v>919</v>
      </c>
      <c r="E62" s="1948">
        <v>102.19999999999999</v>
      </c>
      <c r="F62" s="1948" t="s">
        <v>453</v>
      </c>
      <c r="G62" s="1954">
        <v>32407.1</v>
      </c>
      <c r="H62" s="1954">
        <v>3312005.6199999996</v>
      </c>
      <c r="I62" s="1955">
        <f t="shared" si="0"/>
        <v>0.29447346485741382</v>
      </c>
    </row>
    <row r="63" spans="3:9">
      <c r="C63" s="1948">
        <v>41</v>
      </c>
      <c r="D63" s="1948" t="s">
        <v>477</v>
      </c>
      <c r="E63" s="1948">
        <v>38</v>
      </c>
      <c r="F63" s="1948" t="s">
        <v>7</v>
      </c>
      <c r="G63" s="1954">
        <v>82897.100000000006</v>
      </c>
      <c r="H63" s="1954">
        <v>3150089.8000000003</v>
      </c>
      <c r="I63" s="1955">
        <f t="shared" si="0"/>
        <v>0.28007738042968594</v>
      </c>
    </row>
    <row r="64" spans="3:9">
      <c r="C64" s="1948">
        <v>37</v>
      </c>
      <c r="D64" s="1948" t="s">
        <v>473</v>
      </c>
      <c r="E64" s="1948">
        <v>9</v>
      </c>
      <c r="F64" s="1948" t="s">
        <v>7</v>
      </c>
      <c r="G64" s="1954">
        <v>349184</v>
      </c>
      <c r="H64" s="1954">
        <v>3142656</v>
      </c>
      <c r="I64" s="1955">
        <f t="shared" si="0"/>
        <v>0.27941643443676906</v>
      </c>
    </row>
    <row r="65" spans="3:9">
      <c r="C65" s="1948">
        <v>102</v>
      </c>
      <c r="D65" s="1948" t="s">
        <v>473</v>
      </c>
      <c r="E65" s="1948">
        <v>9</v>
      </c>
      <c r="F65" s="1948" t="s">
        <v>7</v>
      </c>
      <c r="G65" s="1954">
        <v>349184</v>
      </c>
      <c r="H65" s="1954">
        <v>3142656</v>
      </c>
      <c r="I65" s="1955">
        <f t="shared" si="0"/>
        <v>0.27941643443676906</v>
      </c>
    </row>
    <row r="66" spans="3:9">
      <c r="C66" s="1948">
        <v>27</v>
      </c>
      <c r="D66" s="1948" t="s">
        <v>922</v>
      </c>
      <c r="E66" s="1948">
        <v>95.84</v>
      </c>
      <c r="F66" s="1948" t="s">
        <v>453</v>
      </c>
      <c r="G66" s="1954">
        <v>32407.1</v>
      </c>
      <c r="H66" s="1954">
        <v>3105896.4640000002</v>
      </c>
      <c r="I66" s="1955">
        <f t="shared" si="0"/>
        <v>0.27614811029290154</v>
      </c>
    </row>
    <row r="67" spans="3:9">
      <c r="C67" s="1948">
        <v>105</v>
      </c>
      <c r="D67" s="1948" t="s">
        <v>476</v>
      </c>
      <c r="E67" s="1948">
        <v>48</v>
      </c>
      <c r="F67" s="1948" t="s">
        <v>18</v>
      </c>
      <c r="G67" s="1954">
        <v>59247.1</v>
      </c>
      <c r="H67" s="1954">
        <v>2843860.8</v>
      </c>
      <c r="I67" s="1955">
        <f t="shared" si="0"/>
        <v>0.25285027848116293</v>
      </c>
    </row>
    <row r="68" spans="3:9">
      <c r="C68" s="1948">
        <v>96</v>
      </c>
      <c r="D68" s="1948" t="s">
        <v>907</v>
      </c>
      <c r="E68" s="1948">
        <v>45.28</v>
      </c>
      <c r="F68" s="1948" t="s">
        <v>20</v>
      </c>
      <c r="G68" s="1954">
        <v>54923</v>
      </c>
      <c r="H68" s="1954">
        <v>2486913.44</v>
      </c>
      <c r="I68" s="1955">
        <f t="shared" si="0"/>
        <v>0.22111376051266182</v>
      </c>
    </row>
    <row r="69" spans="3:9">
      <c r="C69" s="1948">
        <v>40</v>
      </c>
      <c r="D69" s="1948" t="s">
        <v>476</v>
      </c>
      <c r="E69" s="1948">
        <v>38</v>
      </c>
      <c r="F69" s="1948" t="s">
        <v>18</v>
      </c>
      <c r="G69" s="1954">
        <v>59247.1</v>
      </c>
      <c r="H69" s="1954">
        <v>2251389.7999999998</v>
      </c>
      <c r="I69" s="1955">
        <f t="shared" ref="I69:I127" si="1">H69/$H$128*100</f>
        <v>0.20017313713092066</v>
      </c>
    </row>
    <row r="70" spans="3:9">
      <c r="C70" s="1948">
        <v>35</v>
      </c>
      <c r="D70" s="1948" t="s">
        <v>833</v>
      </c>
      <c r="E70" s="1948">
        <v>41.484500000000004</v>
      </c>
      <c r="F70" s="1948" t="s">
        <v>450</v>
      </c>
      <c r="G70" s="1954">
        <v>54046.3</v>
      </c>
      <c r="H70" s="1954">
        <v>2242083.7323500002</v>
      </c>
      <c r="I70" s="1955">
        <f t="shared" si="1"/>
        <v>0.19934572609980866</v>
      </c>
    </row>
    <row r="71" spans="3:9">
      <c r="C71" s="1948">
        <v>25</v>
      </c>
      <c r="D71" s="1948" t="s">
        <v>796</v>
      </c>
      <c r="E71" s="1948">
        <v>2.4428000000000001</v>
      </c>
      <c r="F71" s="1948" t="s">
        <v>450</v>
      </c>
      <c r="G71" s="1954">
        <v>881826</v>
      </c>
      <c r="H71" s="1954">
        <v>2154124.5528000002</v>
      </c>
      <c r="I71" s="1955">
        <f t="shared" si="1"/>
        <v>0.19152519457302222</v>
      </c>
    </row>
    <row r="72" spans="3:9">
      <c r="C72" s="1948">
        <v>39</v>
      </c>
      <c r="D72" s="1948" t="s">
        <v>475</v>
      </c>
      <c r="E72" s="1948">
        <v>12</v>
      </c>
      <c r="F72" s="1948" t="s">
        <v>7</v>
      </c>
      <c r="G72" s="1954">
        <v>174612.9</v>
      </c>
      <c r="H72" s="1954">
        <v>2095354.7999999998</v>
      </c>
      <c r="I72" s="1955">
        <f t="shared" si="1"/>
        <v>0.18629992181644103</v>
      </c>
    </row>
    <row r="73" spans="3:9">
      <c r="C73" s="1948">
        <v>33</v>
      </c>
      <c r="D73" s="1948" t="s">
        <v>978</v>
      </c>
      <c r="E73" s="1948">
        <v>37.6</v>
      </c>
      <c r="F73" s="1948" t="s">
        <v>453</v>
      </c>
      <c r="G73" s="1954">
        <v>54923</v>
      </c>
      <c r="H73" s="1954">
        <v>2065104.8</v>
      </c>
      <c r="I73" s="1955">
        <f t="shared" si="1"/>
        <v>0.18361036650344711</v>
      </c>
    </row>
    <row r="74" spans="3:9">
      <c r="C74" s="1948">
        <v>7</v>
      </c>
      <c r="D74" s="1948" t="s">
        <v>1078</v>
      </c>
      <c r="E74" s="1948">
        <v>1</v>
      </c>
      <c r="F74" s="1948" t="s">
        <v>32</v>
      </c>
      <c r="G74" s="1954">
        <v>2000000</v>
      </c>
      <c r="H74" s="1954">
        <v>2000000</v>
      </c>
      <c r="I74" s="1955">
        <f t="shared" si="1"/>
        <v>0.17782183887563199</v>
      </c>
    </row>
    <row r="75" spans="3:9">
      <c r="C75" s="1948">
        <v>116</v>
      </c>
      <c r="D75" s="1948" t="s">
        <v>812</v>
      </c>
      <c r="E75" s="1948">
        <v>37</v>
      </c>
      <c r="F75" s="1948" t="s">
        <v>8</v>
      </c>
      <c r="G75" s="1954">
        <v>53691</v>
      </c>
      <c r="H75" s="1954">
        <v>1986567</v>
      </c>
      <c r="I75" s="1955">
        <f t="shared" si="1"/>
        <v>0.17662749849482381</v>
      </c>
    </row>
    <row r="76" spans="3:9">
      <c r="C76" s="1948">
        <v>51</v>
      </c>
      <c r="D76" s="1948" t="s">
        <v>811</v>
      </c>
      <c r="E76" s="1948">
        <v>8</v>
      </c>
      <c r="F76" s="1948" t="s">
        <v>8</v>
      </c>
      <c r="G76" s="1954">
        <v>247714.5</v>
      </c>
      <c r="H76" s="1954">
        <v>1981716</v>
      </c>
      <c r="I76" s="1955">
        <f t="shared" si="1"/>
        <v>0.17619619162463099</v>
      </c>
    </row>
    <row r="77" spans="3:9">
      <c r="C77" s="1948">
        <v>115</v>
      </c>
      <c r="D77" s="1948" t="s">
        <v>811</v>
      </c>
      <c r="E77" s="1948">
        <v>8</v>
      </c>
      <c r="F77" s="1948" t="s">
        <v>8</v>
      </c>
      <c r="G77" s="1954">
        <v>247714.5</v>
      </c>
      <c r="H77" s="1954">
        <v>1981716</v>
      </c>
      <c r="I77" s="1955">
        <f t="shared" si="1"/>
        <v>0.17619619162463099</v>
      </c>
    </row>
    <row r="78" spans="3:9">
      <c r="C78" s="1948">
        <v>5</v>
      </c>
      <c r="D78" s="1948" t="s">
        <v>598</v>
      </c>
      <c r="E78" s="1948">
        <v>169.125</v>
      </c>
      <c r="F78" s="1948" t="s">
        <v>450</v>
      </c>
      <c r="G78" s="1954">
        <v>10000</v>
      </c>
      <c r="H78" s="1954">
        <v>1691250</v>
      </c>
      <c r="I78" s="1955">
        <f t="shared" si="1"/>
        <v>0.15037059249920631</v>
      </c>
    </row>
    <row r="79" spans="3:9">
      <c r="C79" s="111">
        <v>47</v>
      </c>
      <c r="D79" t="s">
        <v>810</v>
      </c>
      <c r="E79">
        <v>41.484500000000004</v>
      </c>
      <c r="F79" t="s">
        <v>450</v>
      </c>
      <c r="G79" s="1951">
        <v>39794.699999999997</v>
      </c>
      <c r="H79" s="1951">
        <v>1650863.2321500001</v>
      </c>
      <c r="I79" s="1953">
        <f t="shared" si="1"/>
        <v>0.14677976783654118</v>
      </c>
    </row>
    <row r="80" spans="3:9">
      <c r="C80" s="111">
        <v>15</v>
      </c>
      <c r="D80" t="s">
        <v>1085</v>
      </c>
      <c r="E80">
        <v>1</v>
      </c>
      <c r="F80" t="s">
        <v>439</v>
      </c>
      <c r="G80" s="1951">
        <v>1650000</v>
      </c>
      <c r="H80" s="1951">
        <v>1650000</v>
      </c>
      <c r="I80" s="1953">
        <f t="shared" si="1"/>
        <v>0.14670301707239639</v>
      </c>
    </row>
    <row r="81" spans="3:9">
      <c r="C81" s="111">
        <v>64</v>
      </c>
      <c r="D81" t="s">
        <v>759</v>
      </c>
      <c r="E81">
        <v>2</v>
      </c>
      <c r="F81" t="s">
        <v>7</v>
      </c>
      <c r="G81" s="1951">
        <v>805572.9</v>
      </c>
      <c r="H81" s="1951">
        <v>1611145.8</v>
      </c>
      <c r="I81" s="1953">
        <f t="shared" si="1"/>
        <v>0.14324845442637563</v>
      </c>
    </row>
    <row r="82" spans="3:9">
      <c r="C82" s="111">
        <v>72</v>
      </c>
      <c r="D82" t="s">
        <v>1077</v>
      </c>
      <c r="E82">
        <v>94.738285714285723</v>
      </c>
      <c r="F82" t="s">
        <v>14</v>
      </c>
      <c r="G82" s="1951">
        <v>16855.52</v>
      </c>
      <c r="H82" s="1951">
        <v>1596863.0696228573</v>
      </c>
      <c r="I82" s="1953">
        <f t="shared" si="1"/>
        <v>0.14197856373646142</v>
      </c>
    </row>
    <row r="83" spans="3:9">
      <c r="C83" s="111">
        <v>104</v>
      </c>
      <c r="D83" t="s">
        <v>475</v>
      </c>
      <c r="E83">
        <v>9</v>
      </c>
      <c r="F83" t="s">
        <v>7</v>
      </c>
      <c r="G83" s="1951">
        <v>174612.9</v>
      </c>
      <c r="H83" s="1951">
        <v>1571516.0999999999</v>
      </c>
      <c r="I83" s="1953">
        <f t="shared" si="1"/>
        <v>0.1397249413623308</v>
      </c>
    </row>
    <row r="84" spans="3:9">
      <c r="C84" s="111">
        <v>73</v>
      </c>
      <c r="D84" t="s">
        <v>644</v>
      </c>
      <c r="E84">
        <v>8.6399999999999988</v>
      </c>
      <c r="F84" t="s">
        <v>450</v>
      </c>
      <c r="G84" s="1951">
        <v>179201</v>
      </c>
      <c r="H84" s="1951">
        <v>1548296.64</v>
      </c>
      <c r="I84" s="1953">
        <f t="shared" si="1"/>
        <v>0.13766047782488119</v>
      </c>
    </row>
    <row r="85" spans="3:9">
      <c r="C85" s="111">
        <v>65</v>
      </c>
      <c r="D85" t="s">
        <v>777</v>
      </c>
      <c r="E85">
        <v>2</v>
      </c>
      <c r="F85" t="s">
        <v>7</v>
      </c>
      <c r="G85" s="1951">
        <v>724870.85</v>
      </c>
      <c r="H85" s="1951">
        <v>1449741.7</v>
      </c>
      <c r="I85" s="1953">
        <f t="shared" si="1"/>
        <v>0.1288978674943424</v>
      </c>
    </row>
    <row r="86" spans="3:9">
      <c r="C86" s="111">
        <v>38</v>
      </c>
      <c r="D86" t="s">
        <v>474</v>
      </c>
      <c r="E86">
        <v>13.5</v>
      </c>
      <c r="F86" t="s">
        <v>18</v>
      </c>
      <c r="G86" s="1951">
        <v>105655</v>
      </c>
      <c r="H86" s="1951">
        <v>1426342.5</v>
      </c>
      <c r="I86" s="1953">
        <f t="shared" si="1"/>
        <v>0.12681742310823307</v>
      </c>
    </row>
    <row r="87" spans="3:9">
      <c r="C87" s="111">
        <v>103</v>
      </c>
      <c r="D87" t="s">
        <v>474</v>
      </c>
      <c r="E87">
        <v>13.5</v>
      </c>
      <c r="F87" t="s">
        <v>18</v>
      </c>
      <c r="G87" s="1951">
        <v>105655</v>
      </c>
      <c r="H87" s="1951">
        <v>1426342.5</v>
      </c>
      <c r="I87" s="1953">
        <f t="shared" si="1"/>
        <v>0.12681742310823307</v>
      </c>
    </row>
    <row r="88" spans="3:9">
      <c r="C88" s="111">
        <v>3</v>
      </c>
      <c r="D88" t="s">
        <v>524</v>
      </c>
      <c r="E88">
        <v>283.85000000000002</v>
      </c>
      <c r="F88" t="s">
        <v>450</v>
      </c>
      <c r="G88" s="1951">
        <v>5000</v>
      </c>
      <c r="H88" s="1951">
        <v>1419250</v>
      </c>
      <c r="I88" s="1953">
        <f t="shared" si="1"/>
        <v>0.12618682241212037</v>
      </c>
    </row>
    <row r="89" spans="3:9">
      <c r="C89" s="111">
        <v>6</v>
      </c>
      <c r="D89" t="s">
        <v>693</v>
      </c>
      <c r="E89">
        <v>8</v>
      </c>
      <c r="F89" t="s">
        <v>283</v>
      </c>
      <c r="G89" s="1951">
        <v>150000</v>
      </c>
      <c r="H89" s="1951">
        <v>1200000</v>
      </c>
      <c r="I89" s="1953">
        <f t="shared" si="1"/>
        <v>0.10669310332537919</v>
      </c>
    </row>
    <row r="90" spans="3:9">
      <c r="C90" s="111">
        <v>36</v>
      </c>
      <c r="D90" t="s">
        <v>934</v>
      </c>
      <c r="E90">
        <v>42.56</v>
      </c>
      <c r="F90" t="s">
        <v>20</v>
      </c>
      <c r="G90" s="1951">
        <v>25752.1</v>
      </c>
      <c r="H90" s="1951">
        <v>1096009.3759999999</v>
      </c>
      <c r="I90" s="1953">
        <f t="shared" si="1"/>
        <v>9.7447201332626979E-2</v>
      </c>
    </row>
    <row r="91" spans="3:9">
      <c r="C91" s="111">
        <v>52</v>
      </c>
      <c r="D91" t="s">
        <v>812</v>
      </c>
      <c r="E91">
        <v>20</v>
      </c>
      <c r="F91" t="s">
        <v>8</v>
      </c>
      <c r="G91" s="1951">
        <v>53691</v>
      </c>
      <c r="H91" s="1951">
        <v>1073820</v>
      </c>
      <c r="I91" s="1953">
        <f t="shared" si="1"/>
        <v>9.5474323510715567E-2</v>
      </c>
    </row>
    <row r="92" spans="3:9">
      <c r="C92" s="111">
        <v>119</v>
      </c>
      <c r="D92" t="s">
        <v>816</v>
      </c>
      <c r="E92">
        <v>6</v>
      </c>
      <c r="F92" t="s">
        <v>8</v>
      </c>
      <c r="G92" s="1951">
        <v>143143.00000000003</v>
      </c>
      <c r="H92" s="1951">
        <v>858858.00000000023</v>
      </c>
      <c r="I92" s="1953">
        <f t="shared" si="1"/>
        <v>7.6361854446523797E-2</v>
      </c>
    </row>
    <row r="93" spans="3:9">
      <c r="C93" s="111">
        <v>30</v>
      </c>
      <c r="D93" t="s">
        <v>1040</v>
      </c>
      <c r="E93">
        <v>17.399999999999999</v>
      </c>
      <c r="F93" t="s">
        <v>20</v>
      </c>
      <c r="G93" s="1951">
        <v>45513.93</v>
      </c>
      <c r="H93" s="1951">
        <v>791942.38199999998</v>
      </c>
      <c r="I93" s="1953">
        <f t="shared" si="1"/>
        <v>7.0412325325394098E-2</v>
      </c>
    </row>
    <row r="94" spans="3:9">
      <c r="C94" s="111">
        <v>13</v>
      </c>
      <c r="D94" t="s">
        <v>1083</v>
      </c>
      <c r="E94">
        <v>12</v>
      </c>
      <c r="F94" t="s">
        <v>146</v>
      </c>
      <c r="G94" s="1951">
        <v>65000</v>
      </c>
      <c r="H94" s="1951">
        <v>780000</v>
      </c>
      <c r="I94" s="1953">
        <f t="shared" si="1"/>
        <v>6.9350517161496483E-2</v>
      </c>
    </row>
    <row r="95" spans="3:9">
      <c r="C95" s="111">
        <v>53</v>
      </c>
      <c r="D95" t="s">
        <v>813</v>
      </c>
      <c r="E95">
        <v>8</v>
      </c>
      <c r="F95" t="s">
        <v>8</v>
      </c>
      <c r="G95" s="1951">
        <v>95304</v>
      </c>
      <c r="H95" s="1951">
        <v>762432</v>
      </c>
      <c r="I95" s="1953">
        <f t="shared" si="1"/>
        <v>6.7788530128812918E-2</v>
      </c>
    </row>
    <row r="96" spans="3:9">
      <c r="C96" s="111">
        <v>117</v>
      </c>
      <c r="D96" t="s">
        <v>813</v>
      </c>
      <c r="E96">
        <v>8</v>
      </c>
      <c r="F96" t="s">
        <v>8</v>
      </c>
      <c r="G96" s="1951">
        <v>95304</v>
      </c>
      <c r="H96" s="1951">
        <v>762432</v>
      </c>
      <c r="I96" s="1953">
        <f t="shared" si="1"/>
        <v>6.7788530128812918E-2</v>
      </c>
    </row>
    <row r="97" spans="3:9">
      <c r="C97" s="111">
        <v>56</v>
      </c>
      <c r="D97" t="s">
        <v>816</v>
      </c>
      <c r="E97">
        <v>5</v>
      </c>
      <c r="F97" t="s">
        <v>8</v>
      </c>
      <c r="G97" s="1951">
        <v>143143.00000000003</v>
      </c>
      <c r="H97" s="1951">
        <v>715715.00000000012</v>
      </c>
      <c r="I97" s="1953">
        <f t="shared" si="1"/>
        <v>6.3634878705436479E-2</v>
      </c>
    </row>
    <row r="98" spans="3:9">
      <c r="C98" s="111">
        <v>71</v>
      </c>
      <c r="D98" t="s">
        <v>1046</v>
      </c>
      <c r="E98">
        <v>0.57599999999999996</v>
      </c>
      <c r="F98" t="s">
        <v>422</v>
      </c>
      <c r="G98" s="1951">
        <v>1183114.1711626984</v>
      </c>
      <c r="H98" s="1951">
        <v>681473.76258971426</v>
      </c>
      <c r="I98" s="1953">
        <f t="shared" si="1"/>
        <v>6.0590458804599429E-2</v>
      </c>
    </row>
    <row r="99" spans="3:9">
      <c r="C99" s="111">
        <v>62</v>
      </c>
      <c r="D99" t="s">
        <v>773</v>
      </c>
      <c r="E99">
        <v>2</v>
      </c>
      <c r="F99" t="s">
        <v>7</v>
      </c>
      <c r="G99" s="1951">
        <v>339870.85</v>
      </c>
      <c r="H99" s="1951">
        <v>679741.7</v>
      </c>
      <c r="I99" s="1953">
        <f t="shared" si="1"/>
        <v>6.0436459527224082E-2</v>
      </c>
    </row>
    <row r="100" spans="3:9">
      <c r="C100" s="111">
        <v>93</v>
      </c>
      <c r="D100" t="s">
        <v>831</v>
      </c>
      <c r="E100">
        <v>4</v>
      </c>
      <c r="F100" t="s">
        <v>7</v>
      </c>
      <c r="G100" s="1951">
        <v>160000</v>
      </c>
      <c r="H100" s="1951">
        <v>640000</v>
      </c>
      <c r="I100" s="1953">
        <f t="shared" si="1"/>
        <v>5.6902988440202237E-2</v>
      </c>
    </row>
    <row r="101" spans="3:9">
      <c r="C101" s="111">
        <v>58</v>
      </c>
      <c r="D101" t="s">
        <v>963</v>
      </c>
      <c r="E101">
        <v>5</v>
      </c>
      <c r="F101" t="s">
        <v>8</v>
      </c>
      <c r="G101" s="1951">
        <v>120000</v>
      </c>
      <c r="H101" s="1951">
        <v>600000</v>
      </c>
      <c r="I101" s="1953">
        <f t="shared" si="1"/>
        <v>5.3346551662689597E-2</v>
      </c>
    </row>
    <row r="102" spans="3:9">
      <c r="C102" s="111">
        <v>4</v>
      </c>
      <c r="D102" t="s">
        <v>597</v>
      </c>
      <c r="E102">
        <v>26</v>
      </c>
      <c r="F102" t="s">
        <v>7</v>
      </c>
      <c r="G102" s="1951">
        <v>20000</v>
      </c>
      <c r="H102" s="1951">
        <v>520000</v>
      </c>
      <c r="I102" s="1953">
        <f t="shared" si="1"/>
        <v>4.6233678107664315E-2</v>
      </c>
    </row>
    <row r="103" spans="3:9">
      <c r="C103" s="111">
        <v>66</v>
      </c>
      <c r="D103" t="s">
        <v>767</v>
      </c>
      <c r="E103">
        <v>4</v>
      </c>
      <c r="F103" t="s">
        <v>7</v>
      </c>
      <c r="G103" s="1951">
        <v>123597.1</v>
      </c>
      <c r="H103" s="1951">
        <v>494388.4</v>
      </c>
      <c r="I103" s="1953">
        <f t="shared" si="1"/>
        <v>4.3956527203390758E-2</v>
      </c>
    </row>
    <row r="104" spans="3:9">
      <c r="C104" s="111">
        <v>60</v>
      </c>
      <c r="D104" t="s">
        <v>819</v>
      </c>
      <c r="E104">
        <v>6</v>
      </c>
      <c r="F104" t="s">
        <v>7</v>
      </c>
      <c r="G104" s="1951">
        <v>75000</v>
      </c>
      <c r="H104" s="1951">
        <v>450000</v>
      </c>
      <c r="I104" s="1953">
        <f t="shared" si="1"/>
        <v>4.0009913747017199E-2</v>
      </c>
    </row>
    <row r="105" spans="3:9">
      <c r="C105" s="111">
        <v>85</v>
      </c>
      <c r="D105" t="s">
        <v>975</v>
      </c>
      <c r="E105">
        <v>1</v>
      </c>
      <c r="F105" t="s">
        <v>91</v>
      </c>
      <c r="G105" s="1951">
        <v>450000</v>
      </c>
      <c r="H105" s="1951">
        <v>450000</v>
      </c>
      <c r="I105" s="1953">
        <f t="shared" si="1"/>
        <v>4.0009913747017199E-2</v>
      </c>
    </row>
    <row r="106" spans="3:9">
      <c r="C106" s="111">
        <v>122</v>
      </c>
      <c r="D106" t="s">
        <v>819</v>
      </c>
      <c r="E106">
        <v>6</v>
      </c>
      <c r="F106" t="s">
        <v>7</v>
      </c>
      <c r="G106" s="1951">
        <v>75000</v>
      </c>
      <c r="H106" s="1951">
        <v>450000</v>
      </c>
      <c r="I106" s="1953">
        <f t="shared" si="1"/>
        <v>4.0009913747017199E-2</v>
      </c>
    </row>
    <row r="107" spans="3:9">
      <c r="C107" s="111">
        <v>92</v>
      </c>
      <c r="D107" t="s">
        <v>830</v>
      </c>
      <c r="E107">
        <v>2</v>
      </c>
      <c r="F107" t="s">
        <v>7</v>
      </c>
      <c r="G107" s="1951">
        <v>190000</v>
      </c>
      <c r="H107" s="1951">
        <v>380000</v>
      </c>
      <c r="I107" s="1953">
        <f t="shared" si="1"/>
        <v>3.3786149386370083E-2</v>
      </c>
    </row>
    <row r="108" spans="3:9">
      <c r="C108" s="111">
        <v>67</v>
      </c>
      <c r="D108" t="s">
        <v>940</v>
      </c>
      <c r="E108">
        <v>1</v>
      </c>
      <c r="F108" t="s">
        <v>91</v>
      </c>
      <c r="G108" s="1951">
        <v>350000</v>
      </c>
      <c r="H108" s="1951">
        <v>350000</v>
      </c>
      <c r="I108" s="1953">
        <f t="shared" si="1"/>
        <v>3.1118821803235601E-2</v>
      </c>
    </row>
    <row r="109" spans="3:9">
      <c r="C109" s="111">
        <v>9</v>
      </c>
      <c r="D109" t="s">
        <v>1079</v>
      </c>
      <c r="E109">
        <v>12</v>
      </c>
      <c r="F109" t="s">
        <v>7</v>
      </c>
      <c r="G109" s="1951">
        <v>28000</v>
      </c>
      <c r="H109" s="1951">
        <v>336000</v>
      </c>
      <c r="I109" s="1953">
        <f t="shared" si="1"/>
        <v>2.9874068931106175E-2</v>
      </c>
    </row>
    <row r="110" spans="3:9">
      <c r="C110" s="111">
        <v>63</v>
      </c>
      <c r="D110" t="s">
        <v>770</v>
      </c>
      <c r="E110">
        <v>2</v>
      </c>
      <c r="F110" t="s">
        <v>7</v>
      </c>
      <c r="G110" s="1951">
        <v>147920.85</v>
      </c>
      <c r="H110" s="1951">
        <v>295841.7</v>
      </c>
      <c r="I110" s="1953">
        <f t="shared" si="1"/>
        <v>2.6303557555046531E-2</v>
      </c>
    </row>
    <row r="111" spans="3:9">
      <c r="C111" s="111">
        <v>19</v>
      </c>
      <c r="D111" t="s">
        <v>791</v>
      </c>
      <c r="E111">
        <v>1.9800000000000002</v>
      </c>
      <c r="F111" t="s">
        <v>450</v>
      </c>
      <c r="G111" s="1951">
        <v>143302.5</v>
      </c>
      <c r="H111" s="1951">
        <v>283738.95</v>
      </c>
      <c r="I111" s="1953">
        <f t="shared" si="1"/>
        <v>2.5227490924820503E-2</v>
      </c>
    </row>
    <row r="112" spans="3:9">
      <c r="C112" s="111">
        <v>54</v>
      </c>
      <c r="D112" t="s">
        <v>814</v>
      </c>
      <c r="E112">
        <v>6</v>
      </c>
      <c r="F112" t="s">
        <v>8</v>
      </c>
      <c r="G112" s="1951">
        <v>46915</v>
      </c>
      <c r="H112" s="1951">
        <v>281490</v>
      </c>
      <c r="I112" s="1953">
        <f t="shared" si="1"/>
        <v>2.5027534712550824E-2</v>
      </c>
    </row>
    <row r="113" spans="3:9">
      <c r="C113" s="111">
        <v>118</v>
      </c>
      <c r="D113" t="s">
        <v>815</v>
      </c>
      <c r="E113">
        <v>5</v>
      </c>
      <c r="F113" t="s">
        <v>8</v>
      </c>
      <c r="G113" s="1951">
        <v>52965</v>
      </c>
      <c r="H113" s="1951">
        <v>264825</v>
      </c>
      <c r="I113" s="1953">
        <f t="shared" si="1"/>
        <v>2.354583424011962E-2</v>
      </c>
    </row>
    <row r="114" spans="3:9">
      <c r="C114" s="111">
        <v>1</v>
      </c>
      <c r="D114" t="s">
        <v>418</v>
      </c>
      <c r="E114">
        <v>1</v>
      </c>
      <c r="F114" t="s">
        <v>283</v>
      </c>
      <c r="G114" s="1951">
        <v>250000</v>
      </c>
      <c r="H114" s="1951">
        <v>250000</v>
      </c>
      <c r="I114" s="1953">
        <f t="shared" si="1"/>
        <v>2.2227729859453999E-2</v>
      </c>
    </row>
    <row r="115" spans="3:9">
      <c r="C115" s="111">
        <v>59</v>
      </c>
      <c r="D115" t="s">
        <v>818</v>
      </c>
      <c r="E115">
        <v>1</v>
      </c>
      <c r="F115" t="s">
        <v>7</v>
      </c>
      <c r="G115" s="1951">
        <v>250000</v>
      </c>
      <c r="H115" s="1951">
        <v>250000</v>
      </c>
      <c r="I115" s="1953">
        <f t="shared" si="1"/>
        <v>2.2227729859453999E-2</v>
      </c>
    </row>
    <row r="116" spans="3:9">
      <c r="C116" s="111">
        <v>121</v>
      </c>
      <c r="D116" t="s">
        <v>818</v>
      </c>
      <c r="E116">
        <v>1</v>
      </c>
      <c r="F116" t="s">
        <v>7</v>
      </c>
      <c r="G116" s="1951">
        <v>250000</v>
      </c>
      <c r="H116" s="1951">
        <v>250000</v>
      </c>
      <c r="I116" s="1953">
        <f t="shared" si="1"/>
        <v>2.2227729859453999E-2</v>
      </c>
    </row>
    <row r="117" spans="3:9">
      <c r="C117" s="111">
        <v>20</v>
      </c>
      <c r="D117" t="s">
        <v>792</v>
      </c>
      <c r="E117">
        <v>3.9600000000000004</v>
      </c>
      <c r="F117" t="s">
        <v>450</v>
      </c>
      <c r="G117" s="1951">
        <v>62257.58</v>
      </c>
      <c r="H117" s="1951">
        <v>246540.01680000004</v>
      </c>
      <c r="I117" s="1953">
        <f t="shared" si="1"/>
        <v>2.1920099571902607E-2</v>
      </c>
    </row>
    <row r="118" spans="3:9">
      <c r="C118" s="111">
        <v>17</v>
      </c>
      <c r="D118" t="s">
        <v>151</v>
      </c>
      <c r="E118">
        <v>1</v>
      </c>
      <c r="F118" t="s">
        <v>123</v>
      </c>
      <c r="G118" s="1951">
        <v>241920</v>
      </c>
      <c r="H118" s="1951">
        <v>241920</v>
      </c>
      <c r="I118" s="1953">
        <f t="shared" si="1"/>
        <v>2.1509329630396447E-2</v>
      </c>
    </row>
    <row r="119" spans="3:9">
      <c r="C119" s="111">
        <v>18</v>
      </c>
      <c r="D119" t="s">
        <v>446</v>
      </c>
      <c r="E119">
        <v>3</v>
      </c>
      <c r="F119" t="s">
        <v>7</v>
      </c>
      <c r="G119" s="1951">
        <v>75000</v>
      </c>
      <c r="H119" s="1951">
        <v>225000</v>
      </c>
      <c r="I119" s="1953">
        <f t="shared" si="1"/>
        <v>2.00049568735086E-2</v>
      </c>
    </row>
    <row r="120" spans="3:9">
      <c r="C120" s="111">
        <v>21</v>
      </c>
      <c r="D120" t="s">
        <v>793</v>
      </c>
      <c r="E120">
        <v>3.9600000000000004</v>
      </c>
      <c r="F120" t="s">
        <v>450</v>
      </c>
      <c r="G120" s="1951">
        <v>51450.85</v>
      </c>
      <c r="H120" s="1951">
        <v>203745.36600000001</v>
      </c>
      <c r="I120" s="1953">
        <f t="shared" si="1"/>
        <v>1.8115187822254335E-2</v>
      </c>
    </row>
    <row r="121" spans="3:9">
      <c r="C121" s="111">
        <v>14</v>
      </c>
      <c r="D121" t="s">
        <v>1084</v>
      </c>
      <c r="E121">
        <v>12</v>
      </c>
      <c r="F121" t="s">
        <v>7</v>
      </c>
      <c r="G121" s="1951">
        <v>15000</v>
      </c>
      <c r="H121" s="1951">
        <v>180000</v>
      </c>
      <c r="I121" s="1953">
        <f t="shared" si="1"/>
        <v>1.600396549880688E-2</v>
      </c>
    </row>
    <row r="122" spans="3:9">
      <c r="C122" s="111">
        <v>8</v>
      </c>
      <c r="D122" t="s">
        <v>424</v>
      </c>
      <c r="E122">
        <v>1</v>
      </c>
      <c r="F122" t="s">
        <v>425</v>
      </c>
      <c r="G122" s="1951">
        <v>150000</v>
      </c>
      <c r="H122" s="1951">
        <v>150000</v>
      </c>
      <c r="I122" s="1953">
        <f t="shared" si="1"/>
        <v>1.3336637915672399E-2</v>
      </c>
    </row>
    <row r="123" spans="3:9">
      <c r="C123" s="111">
        <v>10</v>
      </c>
      <c r="D123" t="s">
        <v>1080</v>
      </c>
      <c r="E123">
        <v>1</v>
      </c>
      <c r="F123" t="s">
        <v>7</v>
      </c>
      <c r="G123" s="1951">
        <v>100000</v>
      </c>
      <c r="H123" s="1951">
        <v>100000</v>
      </c>
      <c r="I123" s="1953">
        <f t="shared" si="1"/>
        <v>8.8910919437815983E-3</v>
      </c>
    </row>
    <row r="124" spans="3:9">
      <c r="C124" s="111">
        <v>82</v>
      </c>
      <c r="D124" t="s">
        <v>1048</v>
      </c>
      <c r="E124">
        <v>0.56999999999999995</v>
      </c>
      <c r="F124" t="s">
        <v>450</v>
      </c>
      <c r="G124" s="1951">
        <v>171752.9</v>
      </c>
      <c r="H124" s="1951">
        <v>97899.152999999991</v>
      </c>
      <c r="I124" s="1953">
        <f t="shared" si="1"/>
        <v>8.7043037054134222E-3</v>
      </c>
    </row>
    <row r="125" spans="3:9">
      <c r="C125" s="111">
        <v>11</v>
      </c>
      <c r="D125" t="s">
        <v>1081</v>
      </c>
      <c r="E125">
        <v>2.4</v>
      </c>
      <c r="F125" t="s">
        <v>36</v>
      </c>
      <c r="G125" s="1951">
        <v>25000</v>
      </c>
      <c r="H125" s="1951">
        <v>60000</v>
      </c>
      <c r="I125" s="1953">
        <f t="shared" si="1"/>
        <v>5.3346551662689593E-3</v>
      </c>
    </row>
    <row r="126" spans="3:9">
      <c r="C126" s="111">
        <v>12</v>
      </c>
      <c r="D126" t="s">
        <v>1082</v>
      </c>
      <c r="E126">
        <v>12</v>
      </c>
      <c r="F126" t="s">
        <v>146</v>
      </c>
      <c r="G126" s="1951">
        <v>5000</v>
      </c>
      <c r="H126" s="1951">
        <v>60000</v>
      </c>
      <c r="I126" s="1953">
        <f t="shared" si="1"/>
        <v>5.3346551662689593E-3</v>
      </c>
    </row>
    <row r="127" spans="3:9">
      <c r="C127" s="111">
        <v>55</v>
      </c>
      <c r="D127" t="s">
        <v>815</v>
      </c>
      <c r="E127">
        <v>1</v>
      </c>
      <c r="F127" t="s">
        <v>8</v>
      </c>
      <c r="G127" s="1951">
        <v>52965</v>
      </c>
      <c r="H127" s="1951">
        <v>52965</v>
      </c>
      <c r="I127" s="1953">
        <f t="shared" si="1"/>
        <v>4.7091668480239244E-3</v>
      </c>
    </row>
    <row r="128" spans="3:9">
      <c r="H128" s="1952">
        <f>SUM(H4:H127)</f>
        <v>1124721244.9528167</v>
      </c>
    </row>
  </sheetData>
  <sortState ref="C4:I127">
    <sortCondition descending="1" ref="H4:H1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73"/>
  <sheetViews>
    <sheetView topLeftCell="A2342" workbookViewId="0">
      <selection activeCell="F2354" sqref="F2354:F2355"/>
    </sheetView>
  </sheetViews>
  <sheetFormatPr defaultRowHeight="14.25"/>
  <cols>
    <col min="1" max="1" width="5.5" style="10" customWidth="1"/>
    <col min="2" max="2" width="44.125" style="10" customWidth="1"/>
    <col min="3" max="3" width="5.875" style="10" customWidth="1"/>
    <col min="4" max="4" width="6.25" style="10" customWidth="1"/>
    <col min="5" max="5" width="10.375" style="1004" customWidth="1"/>
    <col min="6" max="6" width="13.5" style="10" customWidth="1"/>
    <col min="7" max="7" width="15.125" style="46" customWidth="1"/>
    <col min="10" max="10" width="11.375" customWidth="1"/>
    <col min="11" max="11" width="6" customWidth="1"/>
  </cols>
  <sheetData>
    <row r="1" spans="1:9" ht="21" thickBot="1">
      <c r="A1" s="1862" t="s">
        <v>64</v>
      </c>
      <c r="B1" s="1862"/>
      <c r="C1" s="1862"/>
      <c r="D1" s="1862"/>
      <c r="E1" s="1862"/>
      <c r="F1" s="1862"/>
      <c r="G1" s="1862"/>
    </row>
    <row r="2" spans="1:9" ht="18" customHeight="1" thickBot="1">
      <c r="A2" s="1862" t="s">
        <v>1030</v>
      </c>
      <c r="B2" s="1862"/>
      <c r="C2" s="1862"/>
      <c r="D2" s="1862"/>
      <c r="E2" s="1862"/>
      <c r="F2" s="1862"/>
      <c r="G2" s="1862"/>
      <c r="I2" s="7">
        <v>0.1</v>
      </c>
    </row>
    <row r="3" spans="1:9" s="18" customFormat="1">
      <c r="A3" s="910" t="s">
        <v>285</v>
      </c>
      <c r="B3" s="910"/>
      <c r="C3" s="911"/>
      <c r="D3" s="912"/>
      <c r="E3" s="913"/>
      <c r="F3" s="914"/>
      <c r="G3" s="914"/>
    </row>
    <row r="4" spans="1:9" s="18" customFormat="1" ht="15" thickBot="1">
      <c r="A4" s="915" t="s">
        <v>286</v>
      </c>
      <c r="B4" s="910"/>
      <c r="C4" s="911"/>
      <c r="D4" s="912"/>
      <c r="E4" s="913"/>
      <c r="F4" s="914"/>
      <c r="G4" s="914"/>
    </row>
    <row r="5" spans="1:9" s="18" customFormat="1" ht="15" thickTop="1">
      <c r="A5" s="1797" t="s">
        <v>275</v>
      </c>
      <c r="B5" s="1799" t="s">
        <v>295</v>
      </c>
      <c r="C5" s="1799" t="s">
        <v>276</v>
      </c>
      <c r="D5" s="1799" t="s">
        <v>277</v>
      </c>
      <c r="E5" s="1801" t="s">
        <v>278</v>
      </c>
      <c r="F5" s="916" t="s">
        <v>279</v>
      </c>
      <c r="G5" s="916" t="s">
        <v>280</v>
      </c>
    </row>
    <row r="6" spans="1:9" s="18" customFormat="1">
      <c r="A6" s="1798"/>
      <c r="B6" s="1800"/>
      <c r="C6" s="1800"/>
      <c r="D6" s="1800"/>
      <c r="E6" s="1802"/>
      <c r="F6" s="917" t="s">
        <v>67</v>
      </c>
      <c r="G6" s="917" t="s">
        <v>67</v>
      </c>
    </row>
    <row r="7" spans="1:9" s="18" customFormat="1">
      <c r="A7" s="918" t="s">
        <v>68</v>
      </c>
      <c r="B7" s="919" t="s">
        <v>298</v>
      </c>
      <c r="C7" s="920"/>
      <c r="D7" s="920"/>
      <c r="E7" s="921"/>
      <c r="F7" s="922"/>
      <c r="G7" s="922"/>
    </row>
    <row r="8" spans="1:9" s="18" customFormat="1">
      <c r="A8" s="918"/>
      <c r="B8" s="923" t="s">
        <v>69</v>
      </c>
      <c r="C8" s="924" t="s">
        <v>70</v>
      </c>
      <c r="D8" s="924" t="s">
        <v>71</v>
      </c>
      <c r="E8" s="925">
        <v>1.2</v>
      </c>
      <c r="F8" s="926">
        <f>Upah!$F$26</f>
        <v>130000</v>
      </c>
      <c r="G8" s="926">
        <f>+F8*E8</f>
        <v>156000</v>
      </c>
    </row>
    <row r="9" spans="1:9" s="18" customFormat="1">
      <c r="A9" s="918"/>
      <c r="B9" s="923" t="s">
        <v>50</v>
      </c>
      <c r="C9" s="927" t="s">
        <v>75</v>
      </c>
      <c r="D9" s="927" t="s">
        <v>71</v>
      </c>
      <c r="E9" s="928">
        <v>0.06</v>
      </c>
      <c r="F9" s="929">
        <f>Upah!$F$8</f>
        <v>170000</v>
      </c>
      <c r="G9" s="929">
        <f>+F9*E9</f>
        <v>10200</v>
      </c>
    </row>
    <row r="10" spans="1:9" s="18" customFormat="1">
      <c r="A10" s="918"/>
      <c r="B10" s="930"/>
      <c r="C10" s="931" t="s">
        <v>632</v>
      </c>
      <c r="D10" s="932"/>
      <c r="E10" s="933"/>
      <c r="F10" s="934"/>
      <c r="G10" s="935">
        <f>SUM(G8:G9)</f>
        <v>166200</v>
      </c>
    </row>
    <row r="11" spans="1:9" s="18" customFormat="1">
      <c r="A11" s="918" t="s">
        <v>77</v>
      </c>
      <c r="B11" s="936" t="s">
        <v>299</v>
      </c>
      <c r="C11" s="937"/>
      <c r="D11" s="937"/>
      <c r="E11" s="938"/>
      <c r="F11" s="939"/>
      <c r="G11" s="926"/>
    </row>
    <row r="12" spans="1:9" s="18" customFormat="1">
      <c r="A12" s="918"/>
      <c r="B12" s="930"/>
      <c r="C12" s="940" t="s">
        <v>642</v>
      </c>
      <c r="D12" s="941"/>
      <c r="E12" s="942"/>
      <c r="F12" s="943"/>
      <c r="G12" s="944">
        <f>SUM(G11)</f>
        <v>0</v>
      </c>
    </row>
    <row r="13" spans="1:9" s="18" customFormat="1">
      <c r="A13" s="918" t="s">
        <v>80</v>
      </c>
      <c r="B13" s="945" t="s">
        <v>250</v>
      </c>
      <c r="C13" s="937"/>
      <c r="D13" s="946"/>
      <c r="E13" s="947"/>
      <c r="F13" s="948"/>
      <c r="G13" s="926"/>
    </row>
    <row r="14" spans="1:9" s="18" customFormat="1">
      <c r="A14" s="918"/>
      <c r="B14" s="949" t="s">
        <v>288</v>
      </c>
      <c r="C14" s="937"/>
      <c r="D14" s="950" t="s">
        <v>291</v>
      </c>
      <c r="E14" s="951">
        <v>6.0000000000000001E-3</v>
      </c>
      <c r="F14" s="952">
        <f>Alat!E8</f>
        <v>50000</v>
      </c>
      <c r="G14" s="926">
        <f t="shared" ref="G14:G16" si="0">+F14*E14</f>
        <v>300</v>
      </c>
    </row>
    <row r="15" spans="1:9" s="18" customFormat="1">
      <c r="A15" s="918"/>
      <c r="B15" s="949" t="s">
        <v>289</v>
      </c>
      <c r="C15" s="924"/>
      <c r="D15" s="953" t="s">
        <v>291</v>
      </c>
      <c r="E15" s="954">
        <v>8.9999999999999993E-3</v>
      </c>
      <c r="F15" s="952">
        <f>Alat!E9</f>
        <v>50000</v>
      </c>
      <c r="G15" s="926">
        <f t="shared" si="0"/>
        <v>449.99999999999994</v>
      </c>
    </row>
    <row r="16" spans="1:9" s="18" customFormat="1">
      <c r="A16" s="918"/>
      <c r="B16" s="955" t="s">
        <v>290</v>
      </c>
      <c r="C16" s="956"/>
      <c r="D16" s="957" t="s">
        <v>291</v>
      </c>
      <c r="E16" s="958">
        <v>0.02</v>
      </c>
      <c r="F16" s="952">
        <f>Alat!E10</f>
        <v>50000</v>
      </c>
      <c r="G16" s="959">
        <f t="shared" si="0"/>
        <v>1000</v>
      </c>
    </row>
    <row r="17" spans="1:7" s="18" customFormat="1">
      <c r="A17" s="960"/>
      <c r="B17" s="961"/>
      <c r="C17" s="962" t="s">
        <v>287</v>
      </c>
      <c r="D17" s="941"/>
      <c r="E17" s="942"/>
      <c r="F17" s="943"/>
      <c r="G17" s="944">
        <f>SUM(G14:G16)</f>
        <v>1750</v>
      </c>
    </row>
    <row r="18" spans="1:7" s="18" customFormat="1">
      <c r="A18" s="963" t="s">
        <v>83</v>
      </c>
      <c r="B18" s="964" t="s">
        <v>292</v>
      </c>
      <c r="C18" s="965"/>
      <c r="D18" s="915"/>
      <c r="E18" s="966"/>
      <c r="F18" s="967"/>
      <c r="G18" s="968">
        <f>+G17+G12+G10</f>
        <v>167950</v>
      </c>
    </row>
    <row r="19" spans="1:7" s="18" customFormat="1">
      <c r="A19" s="963" t="s">
        <v>84</v>
      </c>
      <c r="B19" s="969" t="s">
        <v>293</v>
      </c>
      <c r="C19" s="912"/>
      <c r="D19" s="915"/>
      <c r="E19" s="970">
        <f>$I$2</f>
        <v>0.1</v>
      </c>
      <c r="F19" s="967"/>
      <c r="G19" s="968">
        <f>+G18*E19</f>
        <v>16795</v>
      </c>
    </row>
    <row r="20" spans="1:7" s="18" customFormat="1" ht="15" thickBot="1">
      <c r="A20" s="971" t="s">
        <v>85</v>
      </c>
      <c r="B20" s="972" t="s">
        <v>86</v>
      </c>
      <c r="C20" s="973"/>
      <c r="D20" s="973"/>
      <c r="E20" s="974"/>
      <c r="F20" s="975"/>
      <c r="G20" s="976">
        <f>+G19+G18</f>
        <v>184745</v>
      </c>
    </row>
    <row r="21" spans="1:7" s="111" customFormat="1" ht="15" thickTop="1">
      <c r="A21" s="912"/>
      <c r="B21" s="977"/>
      <c r="C21" s="912"/>
      <c r="D21" s="912"/>
      <c r="E21" s="966"/>
      <c r="F21" s="978"/>
      <c r="G21" s="979"/>
    </row>
    <row r="22" spans="1:7" s="413" customFormat="1">
      <c r="A22" s="910" t="s">
        <v>869</v>
      </c>
      <c r="B22" s="910"/>
      <c r="C22" s="911"/>
      <c r="D22" s="912"/>
      <c r="E22" s="913"/>
      <c r="F22" s="914"/>
      <c r="G22" s="914"/>
    </row>
    <row r="23" spans="1:7" s="413" customFormat="1" ht="15" thickBot="1">
      <c r="A23" s="915" t="s">
        <v>866</v>
      </c>
      <c r="B23" s="910"/>
      <c r="C23" s="911"/>
      <c r="D23" s="912"/>
      <c r="E23" s="913"/>
      <c r="F23" s="914"/>
      <c r="G23" s="914"/>
    </row>
    <row r="24" spans="1:7" s="413" customFormat="1" ht="15" thickTop="1">
      <c r="A24" s="1797" t="s">
        <v>275</v>
      </c>
      <c r="B24" s="1799" t="s">
        <v>295</v>
      </c>
      <c r="C24" s="1799" t="s">
        <v>276</v>
      </c>
      <c r="D24" s="1799" t="s">
        <v>277</v>
      </c>
      <c r="E24" s="1801" t="s">
        <v>278</v>
      </c>
      <c r="F24" s="916" t="s">
        <v>279</v>
      </c>
      <c r="G24" s="916" t="s">
        <v>280</v>
      </c>
    </row>
    <row r="25" spans="1:7" s="413" customFormat="1">
      <c r="A25" s="1798"/>
      <c r="B25" s="1800"/>
      <c r="C25" s="1800"/>
      <c r="D25" s="1800"/>
      <c r="E25" s="1802"/>
      <c r="F25" s="917" t="s">
        <v>67</v>
      </c>
      <c r="G25" s="917" t="s">
        <v>67</v>
      </c>
    </row>
    <row r="26" spans="1:7" s="413" customFormat="1">
      <c r="A26" s="918" t="s">
        <v>68</v>
      </c>
      <c r="B26" s="919" t="s">
        <v>298</v>
      </c>
      <c r="C26" s="920"/>
      <c r="D26" s="920"/>
      <c r="E26" s="921"/>
      <c r="F26" s="922"/>
      <c r="G26" s="922"/>
    </row>
    <row r="27" spans="1:7" s="413" customFormat="1">
      <c r="A27" s="918"/>
      <c r="B27" s="923" t="s">
        <v>69</v>
      </c>
      <c r="C27" s="924" t="s">
        <v>70</v>
      </c>
      <c r="D27" s="924" t="s">
        <v>71</v>
      </c>
      <c r="E27" s="925">
        <v>1.351</v>
      </c>
      <c r="F27" s="926">
        <f>Upah!$F$26</f>
        <v>130000</v>
      </c>
      <c r="G27" s="926">
        <f>+F27*E27</f>
        <v>175630</v>
      </c>
    </row>
    <row r="28" spans="1:7" s="413" customFormat="1">
      <c r="A28" s="918"/>
      <c r="B28" s="923" t="s">
        <v>50</v>
      </c>
      <c r="C28" s="927" t="s">
        <v>75</v>
      </c>
      <c r="D28" s="927" t="s">
        <v>71</v>
      </c>
      <c r="E28" s="928">
        <v>0.1351</v>
      </c>
      <c r="F28" s="929">
        <f>Upah!$F$8</f>
        <v>170000</v>
      </c>
      <c r="G28" s="929">
        <f>+F28*E28</f>
        <v>22967</v>
      </c>
    </row>
    <row r="29" spans="1:7" s="413" customFormat="1">
      <c r="A29" s="918"/>
      <c r="B29" s="930"/>
      <c r="C29" s="931" t="s">
        <v>632</v>
      </c>
      <c r="D29" s="932"/>
      <c r="E29" s="933"/>
      <c r="F29" s="934"/>
      <c r="G29" s="935">
        <f>SUM(G27:G28)</f>
        <v>198597</v>
      </c>
    </row>
    <row r="30" spans="1:7" s="413" customFormat="1">
      <c r="A30" s="918" t="s">
        <v>77</v>
      </c>
      <c r="B30" s="936" t="s">
        <v>299</v>
      </c>
      <c r="C30" s="937"/>
      <c r="D30" s="937"/>
      <c r="E30" s="938"/>
      <c r="F30" s="939"/>
      <c r="G30" s="926"/>
    </row>
    <row r="31" spans="1:7" s="413" customFormat="1">
      <c r="A31" s="918"/>
      <c r="B31" s="930"/>
      <c r="C31" s="940" t="s">
        <v>642</v>
      </c>
      <c r="D31" s="941"/>
      <c r="E31" s="942"/>
      <c r="F31" s="943"/>
      <c r="G31" s="944">
        <f>SUM(G30)</f>
        <v>0</v>
      </c>
    </row>
    <row r="32" spans="1:7" s="413" customFormat="1">
      <c r="A32" s="918" t="s">
        <v>80</v>
      </c>
      <c r="B32" s="945" t="s">
        <v>250</v>
      </c>
      <c r="C32" s="937"/>
      <c r="D32" s="946"/>
      <c r="E32" s="947"/>
      <c r="F32" s="948"/>
      <c r="G32" s="926"/>
    </row>
    <row r="33" spans="1:7" s="413" customFormat="1">
      <c r="A33" s="960"/>
      <c r="B33" s="961"/>
      <c r="C33" s="962" t="s">
        <v>287</v>
      </c>
      <c r="D33" s="941"/>
      <c r="E33" s="942"/>
      <c r="F33" s="943"/>
      <c r="G33" s="944">
        <v>0</v>
      </c>
    </row>
    <row r="34" spans="1:7" s="413" customFormat="1">
      <c r="A34" s="963" t="s">
        <v>83</v>
      </c>
      <c r="B34" s="964" t="s">
        <v>292</v>
      </c>
      <c r="C34" s="965"/>
      <c r="D34" s="915"/>
      <c r="E34" s="966"/>
      <c r="F34" s="967"/>
      <c r="G34" s="968">
        <f>+G33+G31+G29</f>
        <v>198597</v>
      </c>
    </row>
    <row r="35" spans="1:7" s="413" customFormat="1">
      <c r="A35" s="963" t="s">
        <v>84</v>
      </c>
      <c r="B35" s="969" t="s">
        <v>293</v>
      </c>
      <c r="C35" s="912"/>
      <c r="D35" s="915"/>
      <c r="E35" s="970">
        <f>$I$2</f>
        <v>0.1</v>
      </c>
      <c r="F35" s="967"/>
      <c r="G35" s="968">
        <f>+G34*E35</f>
        <v>19859.7</v>
      </c>
    </row>
    <row r="36" spans="1:7" s="413" customFormat="1" ht="15" thickBot="1">
      <c r="A36" s="971" t="s">
        <v>85</v>
      </c>
      <c r="B36" s="972" t="s">
        <v>86</v>
      </c>
      <c r="C36" s="973"/>
      <c r="D36" s="973"/>
      <c r="E36" s="974"/>
      <c r="F36" s="975"/>
      <c r="G36" s="976">
        <f>+G35+G34</f>
        <v>218456.7</v>
      </c>
    </row>
    <row r="37" spans="1:7" s="111" customFormat="1" ht="15" thickTop="1">
      <c r="A37" s="980"/>
      <c r="B37" s="915"/>
      <c r="C37" s="912"/>
      <c r="D37" s="912"/>
      <c r="E37" s="981"/>
      <c r="F37" s="982"/>
      <c r="G37" s="982"/>
    </row>
    <row r="38" spans="1:7" s="413" customFormat="1" ht="15" thickBot="1">
      <c r="A38" s="915" t="s">
        <v>867</v>
      </c>
      <c r="B38" s="910"/>
      <c r="C38" s="911"/>
      <c r="D38" s="912"/>
      <c r="E38" s="913"/>
      <c r="F38" s="914"/>
      <c r="G38" s="914"/>
    </row>
    <row r="39" spans="1:7" s="413" customFormat="1" ht="15" thickTop="1">
      <c r="A39" s="1797" t="s">
        <v>275</v>
      </c>
      <c r="B39" s="1799" t="s">
        <v>295</v>
      </c>
      <c r="C39" s="1799" t="s">
        <v>276</v>
      </c>
      <c r="D39" s="1799" t="s">
        <v>277</v>
      </c>
      <c r="E39" s="1801" t="s">
        <v>278</v>
      </c>
      <c r="F39" s="916" t="s">
        <v>279</v>
      </c>
      <c r="G39" s="916" t="s">
        <v>280</v>
      </c>
    </row>
    <row r="40" spans="1:7" s="413" customFormat="1">
      <c r="A40" s="1798"/>
      <c r="B40" s="1800"/>
      <c r="C40" s="1800"/>
      <c r="D40" s="1800"/>
      <c r="E40" s="1802"/>
      <c r="F40" s="917" t="s">
        <v>67</v>
      </c>
      <c r="G40" s="917" t="s">
        <v>67</v>
      </c>
    </row>
    <row r="41" spans="1:7" s="413" customFormat="1">
      <c r="A41" s="918" t="s">
        <v>68</v>
      </c>
      <c r="B41" s="919" t="s">
        <v>298</v>
      </c>
      <c r="C41" s="920"/>
      <c r="D41" s="920"/>
      <c r="E41" s="983"/>
      <c r="F41" s="922"/>
      <c r="G41" s="922"/>
    </row>
    <row r="42" spans="1:7" s="413" customFormat="1">
      <c r="A42" s="918"/>
      <c r="B42" s="923" t="s">
        <v>69</v>
      </c>
      <c r="C42" s="924" t="s">
        <v>70</v>
      </c>
      <c r="D42" s="924" t="s">
        <v>71</v>
      </c>
      <c r="E42" s="984">
        <v>1.5</v>
      </c>
      <c r="F42" s="926">
        <f>Upah!$F$26</f>
        <v>130000</v>
      </c>
      <c r="G42" s="926">
        <f>+F42*E42</f>
        <v>195000</v>
      </c>
    </row>
    <row r="43" spans="1:7" s="413" customFormat="1">
      <c r="A43" s="918"/>
      <c r="B43" s="923" t="s">
        <v>50</v>
      </c>
      <c r="C43" s="927" t="s">
        <v>75</v>
      </c>
      <c r="D43" s="927" t="s">
        <v>71</v>
      </c>
      <c r="E43" s="985">
        <v>0.15</v>
      </c>
      <c r="F43" s="929">
        <f>Upah!$F$8</f>
        <v>170000</v>
      </c>
      <c r="G43" s="929">
        <f>+F43*E43</f>
        <v>25500</v>
      </c>
    </row>
    <row r="44" spans="1:7" s="413" customFormat="1">
      <c r="A44" s="918"/>
      <c r="B44" s="930"/>
      <c r="C44" s="931" t="s">
        <v>632</v>
      </c>
      <c r="D44" s="932"/>
      <c r="E44" s="933"/>
      <c r="F44" s="934"/>
      <c r="G44" s="935">
        <f>SUM(G42:G43)</f>
        <v>220500</v>
      </c>
    </row>
    <row r="45" spans="1:7" s="413" customFormat="1">
      <c r="A45" s="918" t="s">
        <v>77</v>
      </c>
      <c r="B45" s="936" t="s">
        <v>299</v>
      </c>
      <c r="C45" s="937"/>
      <c r="D45" s="937"/>
      <c r="E45" s="938"/>
      <c r="F45" s="939"/>
      <c r="G45" s="926"/>
    </row>
    <row r="46" spans="1:7" s="413" customFormat="1">
      <c r="A46" s="918"/>
      <c r="B46" s="930"/>
      <c r="C46" s="940" t="s">
        <v>642</v>
      </c>
      <c r="D46" s="941"/>
      <c r="E46" s="942"/>
      <c r="F46" s="943"/>
      <c r="G46" s="944">
        <f>SUM(G45)</f>
        <v>0</v>
      </c>
    </row>
    <row r="47" spans="1:7" s="413" customFormat="1">
      <c r="A47" s="918" t="s">
        <v>80</v>
      </c>
      <c r="B47" s="945" t="s">
        <v>250</v>
      </c>
      <c r="C47" s="937"/>
      <c r="D47" s="946"/>
      <c r="E47" s="947"/>
      <c r="F47" s="948"/>
      <c r="G47" s="926"/>
    </row>
    <row r="48" spans="1:7" s="413" customFormat="1">
      <c r="A48" s="960"/>
      <c r="B48" s="961"/>
      <c r="C48" s="962" t="s">
        <v>287</v>
      </c>
      <c r="D48" s="941"/>
      <c r="E48" s="942"/>
      <c r="F48" s="943"/>
      <c r="G48" s="944">
        <v>0</v>
      </c>
    </row>
    <row r="49" spans="1:7" s="413" customFormat="1">
      <c r="A49" s="963" t="s">
        <v>83</v>
      </c>
      <c r="B49" s="964" t="s">
        <v>292</v>
      </c>
      <c r="C49" s="965"/>
      <c r="D49" s="915"/>
      <c r="E49" s="966"/>
      <c r="F49" s="967"/>
      <c r="G49" s="968">
        <f>+G48+G46+G44</f>
        <v>220500</v>
      </c>
    </row>
    <row r="50" spans="1:7" s="413" customFormat="1">
      <c r="A50" s="963" t="s">
        <v>84</v>
      </c>
      <c r="B50" s="969" t="s">
        <v>293</v>
      </c>
      <c r="C50" s="912"/>
      <c r="D50" s="915"/>
      <c r="E50" s="970">
        <f>$I$2</f>
        <v>0.1</v>
      </c>
      <c r="F50" s="967"/>
      <c r="G50" s="968">
        <f>+G49*E50</f>
        <v>22050</v>
      </c>
    </row>
    <row r="51" spans="1:7" s="413" customFormat="1" ht="15" thickBot="1">
      <c r="A51" s="971" t="s">
        <v>85</v>
      </c>
      <c r="B51" s="972" t="s">
        <v>86</v>
      </c>
      <c r="C51" s="973"/>
      <c r="D51" s="973"/>
      <c r="E51" s="974"/>
      <c r="F51" s="975"/>
      <c r="G51" s="976">
        <f>+G50+G49</f>
        <v>242550</v>
      </c>
    </row>
    <row r="52" spans="1:7" s="111" customFormat="1" ht="15" thickTop="1">
      <c r="A52" s="915"/>
      <c r="B52" s="986"/>
      <c r="C52" s="912"/>
      <c r="D52" s="912"/>
      <c r="E52" s="981"/>
      <c r="F52" s="982"/>
      <c r="G52" s="982"/>
    </row>
    <row r="53" spans="1:7" s="413" customFormat="1" ht="15" thickBot="1">
      <c r="A53" s="915" t="s">
        <v>868</v>
      </c>
      <c r="B53" s="910"/>
      <c r="C53" s="911"/>
      <c r="D53" s="912"/>
      <c r="E53" s="913"/>
      <c r="F53" s="914"/>
      <c r="G53" s="914"/>
    </row>
    <row r="54" spans="1:7" s="413" customFormat="1" ht="15" thickTop="1">
      <c r="A54" s="1797" t="s">
        <v>275</v>
      </c>
      <c r="B54" s="1799" t="s">
        <v>295</v>
      </c>
      <c r="C54" s="1799" t="s">
        <v>276</v>
      </c>
      <c r="D54" s="1799" t="s">
        <v>277</v>
      </c>
      <c r="E54" s="1801" t="s">
        <v>278</v>
      </c>
      <c r="F54" s="916" t="s">
        <v>279</v>
      </c>
      <c r="G54" s="916" t="s">
        <v>280</v>
      </c>
    </row>
    <row r="55" spans="1:7" s="413" customFormat="1">
      <c r="A55" s="1798"/>
      <c r="B55" s="1800"/>
      <c r="C55" s="1800"/>
      <c r="D55" s="1800"/>
      <c r="E55" s="1802"/>
      <c r="F55" s="917" t="s">
        <v>67</v>
      </c>
      <c r="G55" s="917" t="s">
        <v>67</v>
      </c>
    </row>
    <row r="56" spans="1:7" s="413" customFormat="1">
      <c r="A56" s="918" t="s">
        <v>68</v>
      </c>
      <c r="B56" s="919" t="s">
        <v>298</v>
      </c>
      <c r="C56" s="920"/>
      <c r="D56" s="920"/>
      <c r="E56" s="983"/>
      <c r="F56" s="922"/>
      <c r="G56" s="922"/>
    </row>
    <row r="57" spans="1:7" s="413" customFormat="1">
      <c r="A57" s="918"/>
      <c r="B57" s="923" t="s">
        <v>69</v>
      </c>
      <c r="C57" s="924" t="s">
        <v>70</v>
      </c>
      <c r="D57" s="924" t="s">
        <v>71</v>
      </c>
      <c r="E57" s="984">
        <v>1.65</v>
      </c>
      <c r="F57" s="926">
        <f>Upah!$F$26</f>
        <v>130000</v>
      </c>
      <c r="G57" s="926">
        <f>+F57*E57</f>
        <v>214500</v>
      </c>
    </row>
    <row r="58" spans="1:7" s="413" customFormat="1">
      <c r="A58" s="918"/>
      <c r="B58" s="923" t="s">
        <v>50</v>
      </c>
      <c r="C58" s="927" t="s">
        <v>75</v>
      </c>
      <c r="D58" s="927" t="s">
        <v>71</v>
      </c>
      <c r="E58" s="985">
        <v>0.16500000000000001</v>
      </c>
      <c r="F58" s="929">
        <f>Upah!$F$8</f>
        <v>170000</v>
      </c>
      <c r="G58" s="929">
        <f>+F58*E58</f>
        <v>28050</v>
      </c>
    </row>
    <row r="59" spans="1:7" s="413" customFormat="1">
      <c r="A59" s="918"/>
      <c r="B59" s="930"/>
      <c r="C59" s="931" t="s">
        <v>632</v>
      </c>
      <c r="D59" s="932"/>
      <c r="E59" s="933"/>
      <c r="F59" s="934"/>
      <c r="G59" s="935">
        <f>SUM(G57:G58)</f>
        <v>242550</v>
      </c>
    </row>
    <row r="60" spans="1:7" s="413" customFormat="1">
      <c r="A60" s="918" t="s">
        <v>77</v>
      </c>
      <c r="B60" s="936" t="s">
        <v>299</v>
      </c>
      <c r="C60" s="937"/>
      <c r="D60" s="937"/>
      <c r="E60" s="938"/>
      <c r="F60" s="939"/>
      <c r="G60" s="926"/>
    </row>
    <row r="61" spans="1:7" s="413" customFormat="1">
      <c r="A61" s="918"/>
      <c r="B61" s="930"/>
      <c r="C61" s="940" t="s">
        <v>642</v>
      </c>
      <c r="D61" s="941"/>
      <c r="E61" s="942"/>
      <c r="F61" s="943"/>
      <c r="G61" s="944">
        <f>SUM(G60)</f>
        <v>0</v>
      </c>
    </row>
    <row r="62" spans="1:7" s="413" customFormat="1">
      <c r="A62" s="918" t="s">
        <v>80</v>
      </c>
      <c r="B62" s="945" t="s">
        <v>250</v>
      </c>
      <c r="C62" s="937"/>
      <c r="D62" s="946"/>
      <c r="E62" s="947"/>
      <c r="F62" s="948"/>
      <c r="G62" s="926"/>
    </row>
    <row r="63" spans="1:7" s="413" customFormat="1">
      <c r="A63" s="960"/>
      <c r="B63" s="961"/>
      <c r="C63" s="962" t="s">
        <v>287</v>
      </c>
      <c r="D63" s="941"/>
      <c r="E63" s="942"/>
      <c r="F63" s="943"/>
      <c r="G63" s="944">
        <v>0</v>
      </c>
    </row>
    <row r="64" spans="1:7" s="413" customFormat="1">
      <c r="A64" s="963" t="s">
        <v>83</v>
      </c>
      <c r="B64" s="964" t="s">
        <v>292</v>
      </c>
      <c r="C64" s="965"/>
      <c r="D64" s="915"/>
      <c r="E64" s="966"/>
      <c r="F64" s="967"/>
      <c r="G64" s="968">
        <f>+G63+G61+G59</f>
        <v>242550</v>
      </c>
    </row>
    <row r="65" spans="1:7" s="413" customFormat="1">
      <c r="A65" s="963" t="s">
        <v>84</v>
      </c>
      <c r="B65" s="969" t="s">
        <v>293</v>
      </c>
      <c r="C65" s="912"/>
      <c r="D65" s="915"/>
      <c r="E65" s="970">
        <f>$I$2</f>
        <v>0.1</v>
      </c>
      <c r="F65" s="967"/>
      <c r="G65" s="968">
        <f>+G64*E65</f>
        <v>24255</v>
      </c>
    </row>
    <row r="66" spans="1:7" s="413" customFormat="1" ht="15" thickBot="1">
      <c r="A66" s="971" t="s">
        <v>85</v>
      </c>
      <c r="B66" s="972" t="s">
        <v>86</v>
      </c>
      <c r="C66" s="973"/>
      <c r="D66" s="973"/>
      <c r="E66" s="974"/>
      <c r="F66" s="975"/>
      <c r="G66" s="976">
        <f>+G65+G64</f>
        <v>266805</v>
      </c>
    </row>
    <row r="67" spans="1:7" s="111" customFormat="1" ht="15" thickTop="1">
      <c r="A67" s="915"/>
      <c r="B67" s="986"/>
      <c r="C67" s="912"/>
      <c r="D67" s="912"/>
      <c r="E67" s="981"/>
      <c r="F67" s="982"/>
      <c r="G67" s="982"/>
    </row>
    <row r="68" spans="1:7" s="111" customFormat="1">
      <c r="A68" s="915"/>
      <c r="B68" s="986"/>
      <c r="C68" s="912"/>
      <c r="D68" s="912"/>
      <c r="E68" s="981"/>
      <c r="F68" s="982"/>
      <c r="G68" s="982"/>
    </row>
    <row r="69" spans="1:7" s="111" customFormat="1">
      <c r="A69" s="915"/>
      <c r="B69" s="986"/>
      <c r="C69" s="912"/>
      <c r="D69" s="912"/>
      <c r="E69" s="981"/>
      <c r="F69" s="982"/>
      <c r="G69" s="982"/>
    </row>
    <row r="70" spans="1:7" s="111" customFormat="1">
      <c r="A70" s="915"/>
      <c r="B70" s="986"/>
      <c r="C70" s="912"/>
      <c r="D70" s="912"/>
      <c r="E70" s="981"/>
      <c r="F70" s="982"/>
      <c r="G70" s="982"/>
    </row>
    <row r="71" spans="1:7" s="111" customFormat="1">
      <c r="A71" s="915"/>
      <c r="B71" s="986"/>
      <c r="C71" s="912"/>
      <c r="D71" s="912"/>
      <c r="E71" s="981"/>
      <c r="F71" s="982"/>
      <c r="G71" s="982"/>
    </row>
    <row r="72" spans="1:7" s="111" customFormat="1">
      <c r="A72" s="915"/>
      <c r="B72" s="986"/>
      <c r="C72" s="912"/>
      <c r="D72" s="912"/>
      <c r="E72" s="981"/>
      <c r="F72" s="982"/>
      <c r="G72" s="982"/>
    </row>
    <row r="73" spans="1:7" s="111" customFormat="1" ht="26.25" customHeight="1" thickBot="1">
      <c r="A73" s="1854" t="s">
        <v>872</v>
      </c>
      <c r="B73" s="1854"/>
      <c r="C73" s="1854"/>
      <c r="D73" s="1854"/>
      <c r="E73" s="1854"/>
      <c r="F73" s="1854"/>
      <c r="G73" s="1854"/>
    </row>
    <row r="74" spans="1:7" s="111" customFormat="1" ht="15" thickTop="1">
      <c r="A74" s="1797" t="s">
        <v>275</v>
      </c>
      <c r="B74" s="1799" t="s">
        <v>295</v>
      </c>
      <c r="C74" s="1799" t="s">
        <v>276</v>
      </c>
      <c r="D74" s="1799" t="s">
        <v>277</v>
      </c>
      <c r="E74" s="1801" t="s">
        <v>278</v>
      </c>
      <c r="F74" s="916" t="s">
        <v>279</v>
      </c>
      <c r="G74" s="916" t="s">
        <v>280</v>
      </c>
    </row>
    <row r="75" spans="1:7" s="111" customFormat="1">
      <c r="A75" s="1798"/>
      <c r="B75" s="1800"/>
      <c r="C75" s="1800"/>
      <c r="D75" s="1800"/>
      <c r="E75" s="1802"/>
      <c r="F75" s="917" t="s">
        <v>67</v>
      </c>
      <c r="G75" s="917" t="s">
        <v>67</v>
      </c>
    </row>
    <row r="76" spans="1:7" s="111" customFormat="1">
      <c r="A76" s="918" t="s">
        <v>68</v>
      </c>
      <c r="B76" s="919" t="s">
        <v>298</v>
      </c>
      <c r="C76" s="920"/>
      <c r="D76" s="920"/>
      <c r="E76" s="983"/>
      <c r="F76" s="922"/>
      <c r="G76" s="922"/>
    </row>
    <row r="77" spans="1:7" s="111" customFormat="1">
      <c r="A77" s="918"/>
      <c r="B77" s="923" t="s">
        <v>69</v>
      </c>
      <c r="C77" s="924" t="s">
        <v>70</v>
      </c>
      <c r="D77" s="924" t="s">
        <v>71</v>
      </c>
      <c r="E77" s="984">
        <v>0.3</v>
      </c>
      <c r="F77" s="926">
        <f>Upah!$F$26</f>
        <v>130000</v>
      </c>
      <c r="G77" s="926">
        <f>+F77*E77</f>
        <v>39000</v>
      </c>
    </row>
    <row r="78" spans="1:7" s="111" customFormat="1">
      <c r="A78" s="918"/>
      <c r="B78" s="923" t="s">
        <v>50</v>
      </c>
      <c r="C78" s="927" t="s">
        <v>75</v>
      </c>
      <c r="D78" s="927" t="s">
        <v>71</v>
      </c>
      <c r="E78" s="985">
        <v>1.4999999999999999E-2</v>
      </c>
      <c r="F78" s="929">
        <f>Upah!$F$8</f>
        <v>170000</v>
      </c>
      <c r="G78" s="929">
        <f>+F78*E78</f>
        <v>2550</v>
      </c>
    </row>
    <row r="79" spans="1:7" s="111" customFormat="1">
      <c r="A79" s="918"/>
      <c r="B79" s="930"/>
      <c r="C79" s="931" t="s">
        <v>632</v>
      </c>
      <c r="D79" s="932"/>
      <c r="E79" s="933"/>
      <c r="F79" s="934"/>
      <c r="G79" s="935">
        <f>SUM(G77:G78)</f>
        <v>41550</v>
      </c>
    </row>
    <row r="80" spans="1:7" s="111" customFormat="1">
      <c r="A80" s="918" t="s">
        <v>77</v>
      </c>
      <c r="B80" s="945" t="s">
        <v>299</v>
      </c>
      <c r="C80" s="946"/>
      <c r="D80" s="946"/>
      <c r="E80" s="947"/>
      <c r="F80" s="948"/>
      <c r="G80" s="948"/>
    </row>
    <row r="81" spans="1:7" s="111" customFormat="1">
      <c r="A81" s="987"/>
      <c r="B81" s="988" t="s">
        <v>871</v>
      </c>
      <c r="C81" s="989"/>
      <c r="D81" s="989" t="s">
        <v>270</v>
      </c>
      <c r="E81" s="990">
        <v>1.2</v>
      </c>
      <c r="F81" s="991">
        <f>Bahan!E107</f>
        <v>206250</v>
      </c>
      <c r="G81" s="991">
        <f t="shared" ref="G81" si="1">E81*F81</f>
        <v>247500</v>
      </c>
    </row>
    <row r="82" spans="1:7" s="111" customFormat="1">
      <c r="A82" s="918"/>
      <c r="B82" s="930"/>
      <c r="C82" s="940" t="s">
        <v>642</v>
      </c>
      <c r="D82" s="941"/>
      <c r="E82" s="942"/>
      <c r="F82" s="943"/>
      <c r="G82" s="944">
        <f>SUM(G81)</f>
        <v>247500</v>
      </c>
    </row>
    <row r="83" spans="1:7" s="111" customFormat="1">
      <c r="A83" s="918" t="s">
        <v>80</v>
      </c>
      <c r="B83" s="945" t="s">
        <v>250</v>
      </c>
      <c r="C83" s="937"/>
      <c r="D83" s="946"/>
      <c r="E83" s="947"/>
      <c r="F83" s="948"/>
      <c r="G83" s="926"/>
    </row>
    <row r="84" spans="1:7" s="111" customFormat="1">
      <c r="A84" s="960"/>
      <c r="B84" s="961"/>
      <c r="C84" s="962" t="s">
        <v>287</v>
      </c>
      <c r="D84" s="941"/>
      <c r="E84" s="942"/>
      <c r="F84" s="943"/>
      <c r="G84" s="944">
        <v>0</v>
      </c>
    </row>
    <row r="85" spans="1:7" s="111" customFormat="1">
      <c r="A85" s="963" t="s">
        <v>83</v>
      </c>
      <c r="B85" s="964" t="s">
        <v>292</v>
      </c>
      <c r="C85" s="965"/>
      <c r="D85" s="915"/>
      <c r="E85" s="966"/>
      <c r="F85" s="967"/>
      <c r="G85" s="968">
        <f>+G84+G82+G79</f>
        <v>289050</v>
      </c>
    </row>
    <row r="86" spans="1:7" s="111" customFormat="1">
      <c r="A86" s="963" t="s">
        <v>84</v>
      </c>
      <c r="B86" s="969" t="s">
        <v>293</v>
      </c>
      <c r="C86" s="912"/>
      <c r="D86" s="915"/>
      <c r="E86" s="970">
        <f>$I$2</f>
        <v>0.1</v>
      </c>
      <c r="F86" s="967"/>
      <c r="G86" s="968">
        <f>+G85*E86</f>
        <v>28905</v>
      </c>
    </row>
    <row r="87" spans="1:7" s="111" customFormat="1" ht="15" thickBot="1">
      <c r="A87" s="971" t="s">
        <v>85</v>
      </c>
      <c r="B87" s="972" t="s">
        <v>86</v>
      </c>
      <c r="C87" s="973"/>
      <c r="D87" s="973"/>
      <c r="E87" s="974"/>
      <c r="F87" s="975"/>
      <c r="G87" s="976">
        <f>+G86+G85</f>
        <v>317955</v>
      </c>
    </row>
    <row r="88" spans="1:7" s="111" customFormat="1" ht="15" thickTop="1">
      <c r="A88" s="915"/>
      <c r="B88" s="986"/>
      <c r="C88" s="912"/>
      <c r="D88" s="912"/>
      <c r="E88" s="981"/>
      <c r="F88" s="982"/>
      <c r="G88" s="982"/>
    </row>
    <row r="89" spans="1:7" s="413" customFormat="1" ht="15" thickBot="1">
      <c r="A89" s="915" t="s">
        <v>870</v>
      </c>
      <c r="B89" s="910"/>
      <c r="C89" s="911"/>
      <c r="D89" s="912"/>
      <c r="E89" s="913"/>
      <c r="F89" s="914"/>
      <c r="G89" s="914"/>
    </row>
    <row r="90" spans="1:7" s="413" customFormat="1" ht="15" thickTop="1">
      <c r="A90" s="1797" t="s">
        <v>275</v>
      </c>
      <c r="B90" s="1799" t="s">
        <v>295</v>
      </c>
      <c r="C90" s="1799" t="s">
        <v>276</v>
      </c>
      <c r="D90" s="1799" t="s">
        <v>277</v>
      </c>
      <c r="E90" s="1801" t="s">
        <v>278</v>
      </c>
      <c r="F90" s="916" t="s">
        <v>279</v>
      </c>
      <c r="G90" s="916" t="s">
        <v>280</v>
      </c>
    </row>
    <row r="91" spans="1:7" s="413" customFormat="1">
      <c r="A91" s="1798"/>
      <c r="B91" s="1800"/>
      <c r="C91" s="1800"/>
      <c r="D91" s="1800"/>
      <c r="E91" s="1802"/>
      <c r="F91" s="917" t="s">
        <v>67</v>
      </c>
      <c r="G91" s="917" t="s">
        <v>67</v>
      </c>
    </row>
    <row r="92" spans="1:7" s="413" customFormat="1">
      <c r="A92" s="918" t="s">
        <v>68</v>
      </c>
      <c r="B92" s="919" t="s">
        <v>298</v>
      </c>
      <c r="C92" s="920"/>
      <c r="D92" s="920"/>
      <c r="E92" s="983"/>
      <c r="F92" s="922"/>
      <c r="G92" s="922"/>
    </row>
    <row r="93" spans="1:7" s="413" customFormat="1">
      <c r="A93" s="918"/>
      <c r="B93" s="923" t="s">
        <v>69</v>
      </c>
      <c r="C93" s="924" t="s">
        <v>70</v>
      </c>
      <c r="D93" s="924" t="s">
        <v>71</v>
      </c>
      <c r="E93" s="984">
        <v>0.2505</v>
      </c>
      <c r="F93" s="926">
        <f>Upah!$F$26</f>
        <v>130000</v>
      </c>
      <c r="G93" s="926">
        <f>+F93*E93</f>
        <v>32565</v>
      </c>
    </row>
    <row r="94" spans="1:7" s="413" customFormat="1">
      <c r="A94" s="918"/>
      <c r="B94" s="923" t="s">
        <v>50</v>
      </c>
      <c r="C94" s="927" t="s">
        <v>75</v>
      </c>
      <c r="D94" s="927" t="s">
        <v>71</v>
      </c>
      <c r="E94" s="985">
        <v>1.2500000000000001E-2</v>
      </c>
      <c r="F94" s="929">
        <f>Upah!$F$8</f>
        <v>170000</v>
      </c>
      <c r="G94" s="929">
        <f>+F94*E94</f>
        <v>2125</v>
      </c>
    </row>
    <row r="95" spans="1:7" s="413" customFormat="1">
      <c r="A95" s="918"/>
      <c r="B95" s="930"/>
      <c r="C95" s="931" t="s">
        <v>632</v>
      </c>
      <c r="D95" s="932"/>
      <c r="E95" s="933"/>
      <c r="F95" s="934"/>
      <c r="G95" s="935">
        <f>SUM(G93:G94)</f>
        <v>34690</v>
      </c>
    </row>
    <row r="96" spans="1:7" s="413" customFormat="1">
      <c r="A96" s="918" t="s">
        <v>77</v>
      </c>
      <c r="B96" s="936" t="s">
        <v>299</v>
      </c>
      <c r="C96" s="937"/>
      <c r="D96" s="937"/>
      <c r="E96" s="938"/>
      <c r="F96" s="939"/>
      <c r="G96" s="926"/>
    </row>
    <row r="97" spans="1:7" s="413" customFormat="1">
      <c r="A97" s="918"/>
      <c r="B97" s="930"/>
      <c r="C97" s="940" t="s">
        <v>642</v>
      </c>
      <c r="D97" s="941"/>
      <c r="E97" s="942"/>
      <c r="F97" s="943"/>
      <c r="G97" s="944">
        <f>SUM(G96)</f>
        <v>0</v>
      </c>
    </row>
    <row r="98" spans="1:7" s="413" customFormat="1">
      <c r="A98" s="918" t="s">
        <v>80</v>
      </c>
      <c r="B98" s="945" t="s">
        <v>250</v>
      </c>
      <c r="C98" s="937"/>
      <c r="D98" s="946"/>
      <c r="E98" s="947"/>
      <c r="F98" s="948"/>
      <c r="G98" s="926"/>
    </row>
    <row r="99" spans="1:7" s="413" customFormat="1">
      <c r="A99" s="960"/>
      <c r="B99" s="961"/>
      <c r="C99" s="962" t="s">
        <v>287</v>
      </c>
      <c r="D99" s="941"/>
      <c r="E99" s="942"/>
      <c r="F99" s="943"/>
      <c r="G99" s="944">
        <v>0</v>
      </c>
    </row>
    <row r="100" spans="1:7" s="413" customFormat="1">
      <c r="A100" s="963" t="s">
        <v>83</v>
      </c>
      <c r="B100" s="964" t="s">
        <v>292</v>
      </c>
      <c r="C100" s="965"/>
      <c r="D100" s="915"/>
      <c r="E100" s="966"/>
      <c r="F100" s="967"/>
      <c r="G100" s="968">
        <f>+G99+G97+G95</f>
        <v>34690</v>
      </c>
    </row>
    <row r="101" spans="1:7" s="413" customFormat="1">
      <c r="A101" s="963" t="s">
        <v>84</v>
      </c>
      <c r="B101" s="969" t="s">
        <v>293</v>
      </c>
      <c r="C101" s="912"/>
      <c r="D101" s="915"/>
      <c r="E101" s="970">
        <f>$I$2</f>
        <v>0.1</v>
      </c>
      <c r="F101" s="967"/>
      <c r="G101" s="968">
        <f>+G100*E101</f>
        <v>3469</v>
      </c>
    </row>
    <row r="102" spans="1:7" s="413" customFormat="1" ht="15" thickBot="1">
      <c r="A102" s="971" t="s">
        <v>85</v>
      </c>
      <c r="B102" s="972" t="s">
        <v>86</v>
      </c>
      <c r="C102" s="973"/>
      <c r="D102" s="973"/>
      <c r="E102" s="974"/>
      <c r="F102" s="975"/>
      <c r="G102" s="976">
        <f>+G101+G100</f>
        <v>38159</v>
      </c>
    </row>
    <row r="103" spans="1:7" s="111" customFormat="1" ht="15" thickTop="1">
      <c r="A103" s="915"/>
      <c r="B103" s="986"/>
      <c r="C103" s="912"/>
      <c r="D103" s="912"/>
      <c r="E103" s="981"/>
      <c r="F103" s="982"/>
      <c r="G103" s="982"/>
    </row>
    <row r="104" spans="1:7" s="111" customFormat="1">
      <c r="A104" s="915"/>
      <c r="B104" s="986"/>
      <c r="C104" s="912"/>
      <c r="D104" s="912"/>
      <c r="E104" s="981"/>
      <c r="F104" s="982"/>
      <c r="G104" s="982"/>
    </row>
    <row r="105" spans="1:7" s="18" customFormat="1">
      <c r="A105" s="992" t="s">
        <v>302</v>
      </c>
      <c r="B105" s="986"/>
      <c r="C105" s="912"/>
      <c r="D105" s="912"/>
      <c r="E105" s="981"/>
      <c r="F105" s="982"/>
      <c r="G105" s="982"/>
    </row>
    <row r="106" spans="1:7" s="18" customFormat="1">
      <c r="A106" s="992" t="s">
        <v>303</v>
      </c>
      <c r="B106" s="986"/>
      <c r="C106" s="912"/>
      <c r="D106" s="912"/>
      <c r="E106" s="981"/>
      <c r="F106" s="982"/>
      <c r="G106" s="982"/>
    </row>
    <row r="107" spans="1:7" s="18" customFormat="1" ht="15" thickBot="1">
      <c r="A107" s="992" t="s">
        <v>304</v>
      </c>
      <c r="B107" s="986"/>
      <c r="C107" s="912"/>
      <c r="D107" s="912"/>
      <c r="E107" s="981"/>
      <c r="F107" s="982"/>
      <c r="G107" s="982"/>
    </row>
    <row r="108" spans="1:7" s="18" customFormat="1" ht="15" thickTop="1">
      <c r="A108" s="1797" t="s">
        <v>275</v>
      </c>
      <c r="B108" s="1799" t="s">
        <v>295</v>
      </c>
      <c r="C108" s="1799" t="s">
        <v>276</v>
      </c>
      <c r="D108" s="1799" t="s">
        <v>277</v>
      </c>
      <c r="E108" s="1801" t="s">
        <v>278</v>
      </c>
      <c r="F108" s="916" t="s">
        <v>279</v>
      </c>
      <c r="G108" s="916" t="s">
        <v>280</v>
      </c>
    </row>
    <row r="109" spans="1:7" s="18" customFormat="1">
      <c r="A109" s="1798"/>
      <c r="B109" s="1800"/>
      <c r="C109" s="1800"/>
      <c r="D109" s="1800"/>
      <c r="E109" s="1802"/>
      <c r="F109" s="917" t="s">
        <v>67</v>
      </c>
      <c r="G109" s="917" t="s">
        <v>67</v>
      </c>
    </row>
    <row r="110" spans="1:7" s="18" customFormat="1">
      <c r="A110" s="918" t="s">
        <v>68</v>
      </c>
      <c r="B110" s="919" t="s">
        <v>298</v>
      </c>
      <c r="C110" s="920"/>
      <c r="D110" s="920"/>
      <c r="E110" s="921"/>
      <c r="F110" s="922"/>
      <c r="G110" s="922"/>
    </row>
    <row r="111" spans="1:7" s="18" customFormat="1">
      <c r="A111" s="918"/>
      <c r="B111" s="923" t="s">
        <v>69</v>
      </c>
      <c r="C111" s="924" t="s">
        <v>70</v>
      </c>
      <c r="D111" s="924" t="s">
        <v>71</v>
      </c>
      <c r="E111" s="925">
        <v>0.73399999999999999</v>
      </c>
      <c r="F111" s="926">
        <f>Upah!$F$26</f>
        <v>130000</v>
      </c>
      <c r="G111" s="926">
        <f>+F111*E111</f>
        <v>95420</v>
      </c>
    </row>
    <row r="112" spans="1:7" s="18" customFormat="1">
      <c r="A112" s="918"/>
      <c r="B112" s="923" t="s">
        <v>56</v>
      </c>
      <c r="C112" s="993" t="s">
        <v>72</v>
      </c>
      <c r="D112" s="993" t="s">
        <v>71</v>
      </c>
      <c r="E112" s="994">
        <v>0.73399999999999999</v>
      </c>
      <c r="F112" s="995">
        <f>Upah!$F$19</f>
        <v>140000</v>
      </c>
      <c r="G112" s="926">
        <f t="shared" ref="G112:G113" si="2">+F112*E112</f>
        <v>102760</v>
      </c>
    </row>
    <row r="113" spans="1:7" s="18" customFormat="1">
      <c r="A113" s="918"/>
      <c r="B113" s="923" t="s">
        <v>73</v>
      </c>
      <c r="C113" s="993" t="s">
        <v>74</v>
      </c>
      <c r="D113" s="993" t="s">
        <v>71</v>
      </c>
      <c r="E113" s="994">
        <v>7.2999999999999995E-2</v>
      </c>
      <c r="F113" s="995">
        <f>Upah!$F$10</f>
        <v>150000</v>
      </c>
      <c r="G113" s="926">
        <f t="shared" si="2"/>
        <v>10950</v>
      </c>
    </row>
    <row r="114" spans="1:7" s="18" customFormat="1">
      <c r="A114" s="918"/>
      <c r="B114" s="923" t="s">
        <v>50</v>
      </c>
      <c r="C114" s="927" t="s">
        <v>75</v>
      </c>
      <c r="D114" s="927" t="s">
        <v>71</v>
      </c>
      <c r="E114" s="928">
        <v>2.4E-2</v>
      </c>
      <c r="F114" s="929">
        <f>Upah!$F$8</f>
        <v>170000</v>
      </c>
      <c r="G114" s="929">
        <f>+F114*E114</f>
        <v>4080</v>
      </c>
    </row>
    <row r="115" spans="1:7" s="18" customFormat="1">
      <c r="A115" s="918"/>
      <c r="B115" s="930"/>
      <c r="C115" s="931" t="s">
        <v>632</v>
      </c>
      <c r="D115" s="932"/>
      <c r="E115" s="933"/>
      <c r="F115" s="934"/>
      <c r="G115" s="935">
        <f>SUM(G111:G114)</f>
        <v>213210</v>
      </c>
    </row>
    <row r="116" spans="1:7" s="18" customFormat="1">
      <c r="A116" s="918" t="s">
        <v>77</v>
      </c>
      <c r="B116" s="936" t="s">
        <v>299</v>
      </c>
      <c r="C116" s="996"/>
      <c r="D116" s="996"/>
      <c r="E116" s="997"/>
      <c r="F116" s="998"/>
      <c r="G116" s="926"/>
    </row>
    <row r="117" spans="1:7" s="18" customFormat="1">
      <c r="A117" s="918"/>
      <c r="B117" s="999" t="s">
        <v>305</v>
      </c>
      <c r="C117" s="1000"/>
      <c r="D117" s="1001" t="s">
        <v>306</v>
      </c>
      <c r="E117" s="1002">
        <v>0.96030000000000004</v>
      </c>
      <c r="F117" s="995">
        <f>Bahan!E124</f>
        <v>120000</v>
      </c>
      <c r="G117" s="926">
        <f t="shared" ref="G117" si="3">+F117*E117</f>
        <v>115236</v>
      </c>
    </row>
    <row r="118" spans="1:7" s="18" customFormat="1">
      <c r="A118" s="918"/>
      <c r="B118" s="930"/>
      <c r="C118" s="940" t="s">
        <v>642</v>
      </c>
      <c r="D118" s="941"/>
      <c r="E118" s="942"/>
      <c r="F118" s="943"/>
      <c r="G118" s="944">
        <f>SUM(G117)</f>
        <v>115236</v>
      </c>
    </row>
    <row r="119" spans="1:7" s="18" customFormat="1">
      <c r="A119" s="918" t="s">
        <v>80</v>
      </c>
      <c r="B119" s="919" t="s">
        <v>250</v>
      </c>
      <c r="C119" s="937"/>
      <c r="D119" s="946"/>
      <c r="E119" s="947"/>
      <c r="F119" s="948"/>
      <c r="G119" s="926">
        <v>0</v>
      </c>
    </row>
    <row r="120" spans="1:7" s="18" customFormat="1">
      <c r="A120" s="960"/>
      <c r="B120" s="961"/>
      <c r="C120" s="962" t="s">
        <v>287</v>
      </c>
      <c r="D120" s="941"/>
      <c r="E120" s="942"/>
      <c r="F120" s="943"/>
      <c r="G120" s="944">
        <v>0</v>
      </c>
    </row>
    <row r="121" spans="1:7" s="18" customFormat="1">
      <c r="A121" s="963" t="s">
        <v>83</v>
      </c>
      <c r="B121" s="964" t="s">
        <v>292</v>
      </c>
      <c r="C121" s="965"/>
      <c r="D121" s="915"/>
      <c r="E121" s="966"/>
      <c r="F121" s="967"/>
      <c r="G121" s="968">
        <f>+G120+G118+G115</f>
        <v>328446</v>
      </c>
    </row>
    <row r="122" spans="1:7" s="18" customFormat="1">
      <c r="A122" s="963" t="s">
        <v>84</v>
      </c>
      <c r="B122" s="969" t="s">
        <v>293</v>
      </c>
      <c r="C122" s="912"/>
      <c r="D122" s="915"/>
      <c r="E122" s="970">
        <f>$I$2</f>
        <v>0.1</v>
      </c>
      <c r="F122" s="967"/>
      <c r="G122" s="968">
        <f>+G121*E122</f>
        <v>32844.6</v>
      </c>
    </row>
    <row r="123" spans="1:7" s="18" customFormat="1" ht="15" thickBot="1">
      <c r="A123" s="971" t="s">
        <v>85</v>
      </c>
      <c r="B123" s="972" t="s">
        <v>86</v>
      </c>
      <c r="C123" s="973"/>
      <c r="D123" s="973"/>
      <c r="E123" s="974"/>
      <c r="F123" s="975"/>
      <c r="G123" s="976">
        <f>+G122+G121</f>
        <v>361290.6</v>
      </c>
    </row>
    <row r="124" spans="1:7" s="18" customFormat="1" ht="15" thickTop="1">
      <c r="A124" s="915"/>
      <c r="B124" s="986"/>
      <c r="C124" s="912"/>
      <c r="D124" s="912"/>
      <c r="E124" s="981"/>
      <c r="F124" s="982"/>
      <c r="G124" s="982"/>
    </row>
    <row r="125" spans="1:7" s="111" customFormat="1">
      <c r="A125" s="915"/>
      <c r="B125" s="986"/>
      <c r="C125" s="912"/>
      <c r="D125" s="912"/>
      <c r="E125" s="981"/>
      <c r="F125" s="982"/>
      <c r="G125" s="982"/>
    </row>
    <row r="126" spans="1:7">
      <c r="A126" s="1003" t="s">
        <v>308</v>
      </c>
    </row>
    <row r="127" spans="1:7">
      <c r="A127" s="1003" t="s">
        <v>309</v>
      </c>
    </row>
    <row r="128" spans="1:7">
      <c r="A128" s="1003" t="s">
        <v>310</v>
      </c>
      <c r="B128" s="1005"/>
    </row>
    <row r="129" spans="1:7" ht="15" thickBot="1">
      <c r="A129" s="1003"/>
      <c r="B129" s="1005" t="s">
        <v>311</v>
      </c>
    </row>
    <row r="130" spans="1:7" ht="15" thickTop="1">
      <c r="A130" s="1797" t="s">
        <v>275</v>
      </c>
      <c r="B130" s="1799" t="s">
        <v>295</v>
      </c>
      <c r="C130" s="1799" t="s">
        <v>276</v>
      </c>
      <c r="D130" s="1799" t="s">
        <v>277</v>
      </c>
      <c r="E130" s="1801" t="s">
        <v>278</v>
      </c>
      <c r="F130" s="916" t="s">
        <v>279</v>
      </c>
      <c r="G130" s="916" t="s">
        <v>280</v>
      </c>
    </row>
    <row r="131" spans="1:7">
      <c r="A131" s="1798"/>
      <c r="B131" s="1800"/>
      <c r="C131" s="1800"/>
      <c r="D131" s="1800"/>
      <c r="E131" s="1802"/>
      <c r="F131" s="917" t="s">
        <v>67</v>
      </c>
      <c r="G131" s="917" t="s">
        <v>67</v>
      </c>
    </row>
    <row r="132" spans="1:7">
      <c r="A132" s="918" t="s">
        <v>68</v>
      </c>
      <c r="B132" s="919" t="s">
        <v>298</v>
      </c>
      <c r="C132" s="920"/>
      <c r="D132" s="920"/>
      <c r="E132" s="921"/>
      <c r="F132" s="922"/>
      <c r="G132" s="922"/>
    </row>
    <row r="133" spans="1:7">
      <c r="A133" s="918"/>
      <c r="B133" s="923" t="s">
        <v>69</v>
      </c>
      <c r="C133" s="924" t="s">
        <v>70</v>
      </c>
      <c r="D133" s="924" t="s">
        <v>71</v>
      </c>
      <c r="E133" s="925">
        <v>7.0000000000000001E-3</v>
      </c>
      <c r="F133" s="926">
        <f>Upah!$F$26</f>
        <v>130000</v>
      </c>
      <c r="G133" s="926">
        <f>+F133*E133</f>
        <v>910</v>
      </c>
    </row>
    <row r="134" spans="1:7">
      <c r="A134" s="918"/>
      <c r="B134" s="923" t="s">
        <v>56</v>
      </c>
      <c r="C134" s="993" t="s">
        <v>72</v>
      </c>
      <c r="D134" s="993" t="s">
        <v>71</v>
      </c>
      <c r="E134" s="994">
        <v>7.0000000000000001E-3</v>
      </c>
      <c r="F134" s="995">
        <f>Upah!$F$19</f>
        <v>140000</v>
      </c>
      <c r="G134" s="926">
        <f t="shared" ref="G134:G135" si="4">+F134*E134</f>
        <v>980</v>
      </c>
    </row>
    <row r="135" spans="1:7">
      <c r="A135" s="918"/>
      <c r="B135" s="923" t="s">
        <v>73</v>
      </c>
      <c r="C135" s="993" t="s">
        <v>74</v>
      </c>
      <c r="D135" s="993" t="s">
        <v>71</v>
      </c>
      <c r="E135" s="994">
        <v>6.9999999999999999E-4</v>
      </c>
      <c r="F135" s="995">
        <f>Upah!$F$10</f>
        <v>150000</v>
      </c>
      <c r="G135" s="926">
        <f t="shared" si="4"/>
        <v>105</v>
      </c>
    </row>
    <row r="136" spans="1:7">
      <c r="A136" s="918"/>
      <c r="B136" s="923" t="s">
        <v>50</v>
      </c>
      <c r="C136" s="927" t="s">
        <v>75</v>
      </c>
      <c r="D136" s="927" t="s">
        <v>71</v>
      </c>
      <c r="E136" s="928">
        <v>6.9999999999999999E-4</v>
      </c>
      <c r="F136" s="929">
        <f>Upah!$F$8</f>
        <v>170000</v>
      </c>
      <c r="G136" s="929">
        <f>+F136*E136</f>
        <v>119</v>
      </c>
    </row>
    <row r="137" spans="1:7">
      <c r="A137" s="918"/>
      <c r="B137" s="930"/>
      <c r="C137" s="931" t="s">
        <v>632</v>
      </c>
      <c r="D137" s="932"/>
      <c r="E137" s="933"/>
      <c r="F137" s="934"/>
      <c r="G137" s="935">
        <f>SUM(G133:G136)</f>
        <v>2114</v>
      </c>
    </row>
    <row r="138" spans="1:7">
      <c r="A138" s="918" t="s">
        <v>77</v>
      </c>
      <c r="B138" s="936" t="s">
        <v>299</v>
      </c>
      <c r="C138" s="996"/>
      <c r="D138" s="996"/>
      <c r="E138" s="997"/>
      <c r="F138" s="998"/>
      <c r="G138" s="926"/>
    </row>
    <row r="139" spans="1:7">
      <c r="A139" s="918"/>
      <c r="B139" s="1006" t="s">
        <v>312</v>
      </c>
      <c r="C139" s="1007"/>
      <c r="D139" s="1008" t="s">
        <v>268</v>
      </c>
      <c r="E139" s="951">
        <v>1.02</v>
      </c>
      <c r="F139" s="926">
        <f>Bahan!$E$117</f>
        <v>14000</v>
      </c>
      <c r="G139" s="926">
        <f t="shared" ref="G139" si="5">+F139*E139</f>
        <v>14280</v>
      </c>
    </row>
    <row r="140" spans="1:7" s="18" customFormat="1">
      <c r="A140" s="918"/>
      <c r="B140" s="1009" t="s">
        <v>313</v>
      </c>
      <c r="C140" s="1010"/>
      <c r="D140" s="1011" t="s">
        <v>268</v>
      </c>
      <c r="E140" s="1012">
        <v>1.4999999999999999E-2</v>
      </c>
      <c r="F140" s="1013">
        <f>Bahan!$E$123</f>
        <v>20000</v>
      </c>
      <c r="G140" s="926">
        <f t="shared" ref="G140" si="6">+F140*E140</f>
        <v>300</v>
      </c>
    </row>
    <row r="141" spans="1:7">
      <c r="A141" s="918"/>
      <c r="B141" s="930"/>
      <c r="C141" s="940" t="s">
        <v>642</v>
      </c>
      <c r="D141" s="941"/>
      <c r="E141" s="942"/>
      <c r="F141" s="943"/>
      <c r="G141" s="944">
        <f>SUM(G139:G140)</f>
        <v>14580</v>
      </c>
    </row>
    <row r="142" spans="1:7">
      <c r="A142" s="918" t="s">
        <v>80</v>
      </c>
      <c r="B142" s="919" t="s">
        <v>250</v>
      </c>
      <c r="C142" s="937"/>
      <c r="D142" s="946"/>
      <c r="E142" s="947"/>
      <c r="F142" s="948"/>
      <c r="G142" s="926">
        <v>0</v>
      </c>
    </row>
    <row r="143" spans="1:7">
      <c r="A143" s="960"/>
      <c r="B143" s="961"/>
      <c r="C143" s="962" t="s">
        <v>287</v>
      </c>
      <c r="D143" s="941"/>
      <c r="E143" s="942"/>
      <c r="F143" s="943"/>
      <c r="G143" s="944">
        <v>0</v>
      </c>
    </row>
    <row r="144" spans="1:7">
      <c r="A144" s="963" t="s">
        <v>83</v>
      </c>
      <c r="B144" s="964" t="s">
        <v>292</v>
      </c>
      <c r="C144" s="965"/>
      <c r="D144" s="915"/>
      <c r="E144" s="966"/>
      <c r="F144" s="967"/>
      <c r="G144" s="968">
        <f>+G143+G141+G137</f>
        <v>16694</v>
      </c>
    </row>
    <row r="145" spans="1:7">
      <c r="A145" s="963" t="s">
        <v>84</v>
      </c>
      <c r="B145" s="969" t="s">
        <v>293</v>
      </c>
      <c r="C145" s="912"/>
      <c r="D145" s="915"/>
      <c r="E145" s="970">
        <f>$I$2</f>
        <v>0.1</v>
      </c>
      <c r="F145" s="967"/>
      <c r="G145" s="968">
        <f>+G144*E145</f>
        <v>1669.4</v>
      </c>
    </row>
    <row r="146" spans="1:7" ht="15" thickBot="1">
      <c r="A146" s="971" t="s">
        <v>85</v>
      </c>
      <c r="B146" s="972" t="s">
        <v>86</v>
      </c>
      <c r="C146" s="973"/>
      <c r="D146" s="973"/>
      <c r="E146" s="974"/>
      <c r="F146" s="975"/>
      <c r="G146" s="976">
        <f>+G145+G144</f>
        <v>18363.400000000001</v>
      </c>
    </row>
    <row r="147" spans="1:7" ht="15" thickTop="1"/>
    <row r="148" spans="1:7">
      <c r="A148" s="992" t="s">
        <v>314</v>
      </c>
    </row>
    <row r="149" spans="1:7">
      <c r="A149" s="1003" t="s">
        <v>752</v>
      </c>
      <c r="B149" s="1005"/>
    </row>
    <row r="150" spans="1:7" ht="15" thickBot="1">
      <c r="A150" s="1003"/>
      <c r="B150" s="1005" t="s">
        <v>315</v>
      </c>
    </row>
    <row r="151" spans="1:7" ht="15" thickTop="1">
      <c r="A151" s="1797" t="s">
        <v>275</v>
      </c>
      <c r="B151" s="1799" t="s">
        <v>295</v>
      </c>
      <c r="C151" s="1799" t="s">
        <v>276</v>
      </c>
      <c r="D151" s="1799" t="s">
        <v>277</v>
      </c>
      <c r="E151" s="1801" t="s">
        <v>278</v>
      </c>
      <c r="F151" s="916" t="s">
        <v>279</v>
      </c>
      <c r="G151" s="916" t="s">
        <v>280</v>
      </c>
    </row>
    <row r="152" spans="1:7">
      <c r="A152" s="1798"/>
      <c r="B152" s="1800"/>
      <c r="C152" s="1800"/>
      <c r="D152" s="1800"/>
      <c r="E152" s="1802"/>
      <c r="F152" s="917" t="s">
        <v>67</v>
      </c>
      <c r="G152" s="917" t="s">
        <v>67</v>
      </c>
    </row>
    <row r="153" spans="1:7">
      <c r="A153" s="918" t="s">
        <v>68</v>
      </c>
      <c r="B153" s="919" t="s">
        <v>298</v>
      </c>
      <c r="C153" s="920"/>
      <c r="D153" s="920"/>
      <c r="E153" s="921"/>
      <c r="F153" s="922"/>
      <c r="G153" s="922"/>
    </row>
    <row r="154" spans="1:7">
      <c r="A154" s="918"/>
      <c r="B154" s="923" t="s">
        <v>69</v>
      </c>
      <c r="C154" s="924" t="s">
        <v>70</v>
      </c>
      <c r="D154" s="924" t="s">
        <v>71</v>
      </c>
      <c r="E154" s="925">
        <v>1.6000000000000001E-3</v>
      </c>
      <c r="F154" s="926">
        <f>Upah!$F$26</f>
        <v>130000</v>
      </c>
      <c r="G154" s="926">
        <f>+F154*E154</f>
        <v>208</v>
      </c>
    </row>
    <row r="155" spans="1:7">
      <c r="A155" s="918"/>
      <c r="B155" s="923" t="s">
        <v>56</v>
      </c>
      <c r="C155" s="993" t="s">
        <v>72</v>
      </c>
      <c r="D155" s="993" t="s">
        <v>71</v>
      </c>
      <c r="E155" s="994">
        <v>1.6000000000000001E-3</v>
      </c>
      <c r="F155" s="995">
        <f>Upah!$F$19</f>
        <v>140000</v>
      </c>
      <c r="G155" s="926">
        <f t="shared" ref="G155:G156" si="7">+F155*E155</f>
        <v>224</v>
      </c>
    </row>
    <row r="156" spans="1:7">
      <c r="A156" s="918"/>
      <c r="B156" s="923" t="s">
        <v>73</v>
      </c>
      <c r="C156" s="993" t="s">
        <v>74</v>
      </c>
      <c r="D156" s="993" t="s">
        <v>71</v>
      </c>
      <c r="E156" s="994">
        <v>1.6000000000000001E-4</v>
      </c>
      <c r="F156" s="995">
        <f>Upah!$F$10</f>
        <v>150000</v>
      </c>
      <c r="G156" s="926">
        <f t="shared" si="7"/>
        <v>24.000000000000004</v>
      </c>
    </row>
    <row r="157" spans="1:7">
      <c r="A157" s="918"/>
      <c r="B157" s="923" t="s">
        <v>50</v>
      </c>
      <c r="C157" s="927" t="s">
        <v>75</v>
      </c>
      <c r="D157" s="927" t="s">
        <v>71</v>
      </c>
      <c r="E157" s="928">
        <v>1.6000000000000001E-4</v>
      </c>
      <c r="F157" s="929">
        <f>Upah!$F$8</f>
        <v>170000</v>
      </c>
      <c r="G157" s="929">
        <f>+F157*E157</f>
        <v>27.200000000000003</v>
      </c>
    </row>
    <row r="158" spans="1:7">
      <c r="A158" s="918"/>
      <c r="B158" s="930"/>
      <c r="C158" s="931" t="s">
        <v>632</v>
      </c>
      <c r="D158" s="932"/>
      <c r="E158" s="933"/>
      <c r="F158" s="934"/>
      <c r="G158" s="935">
        <f>SUM(G154:G157)</f>
        <v>483.2</v>
      </c>
    </row>
    <row r="159" spans="1:7">
      <c r="A159" s="918" t="s">
        <v>77</v>
      </c>
      <c r="B159" s="936" t="s">
        <v>299</v>
      </c>
      <c r="C159" s="996"/>
      <c r="D159" s="996"/>
      <c r="E159" s="997"/>
      <c r="F159" s="998"/>
      <c r="G159" s="926"/>
    </row>
    <row r="160" spans="1:7">
      <c r="A160" s="918"/>
      <c r="B160" s="1006" t="s">
        <v>312</v>
      </c>
      <c r="C160" s="1007"/>
      <c r="D160" s="1008" t="s">
        <v>268</v>
      </c>
      <c r="E160" s="951">
        <v>1.02</v>
      </c>
      <c r="F160" s="926">
        <f>Bahan!$E$117</f>
        <v>14000</v>
      </c>
      <c r="G160" s="926">
        <f t="shared" ref="G160:G161" si="8">+F160*E160</f>
        <v>14280</v>
      </c>
    </row>
    <row r="161" spans="1:7">
      <c r="A161" s="918"/>
      <c r="B161" s="1009" t="s">
        <v>313</v>
      </c>
      <c r="C161" s="1010"/>
      <c r="D161" s="1011" t="s">
        <v>268</v>
      </c>
      <c r="E161" s="1012">
        <v>2.8000000000000001E-2</v>
      </c>
      <c r="F161" s="1013">
        <f>Bahan!$E$123</f>
        <v>20000</v>
      </c>
      <c r="G161" s="926">
        <f t="shared" si="8"/>
        <v>560</v>
      </c>
    </row>
    <row r="162" spans="1:7">
      <c r="A162" s="918"/>
      <c r="B162" s="930"/>
      <c r="C162" s="940" t="s">
        <v>642</v>
      </c>
      <c r="D162" s="941"/>
      <c r="E162" s="942"/>
      <c r="F162" s="943"/>
      <c r="G162" s="944">
        <f>SUM(G160:G161)</f>
        <v>14840</v>
      </c>
    </row>
    <row r="163" spans="1:7">
      <c r="A163" s="918" t="s">
        <v>80</v>
      </c>
      <c r="B163" s="919" t="s">
        <v>250</v>
      </c>
      <c r="C163" s="937"/>
      <c r="D163" s="946"/>
      <c r="E163" s="947"/>
      <c r="F163" s="948"/>
      <c r="G163" s="926">
        <v>0</v>
      </c>
    </row>
    <row r="164" spans="1:7">
      <c r="A164" s="960"/>
      <c r="B164" s="961"/>
      <c r="C164" s="962" t="s">
        <v>287</v>
      </c>
      <c r="D164" s="941"/>
      <c r="E164" s="942"/>
      <c r="F164" s="943"/>
      <c r="G164" s="944">
        <v>0</v>
      </c>
    </row>
    <row r="165" spans="1:7">
      <c r="A165" s="963" t="s">
        <v>83</v>
      </c>
      <c r="B165" s="964" t="s">
        <v>292</v>
      </c>
      <c r="C165" s="965"/>
      <c r="D165" s="915"/>
      <c r="E165" s="966"/>
      <c r="F165" s="967"/>
      <c r="G165" s="968">
        <f>+G164+G162+G158</f>
        <v>15323.2</v>
      </c>
    </row>
    <row r="166" spans="1:7">
      <c r="A166" s="963" t="s">
        <v>84</v>
      </c>
      <c r="B166" s="969" t="s">
        <v>293</v>
      </c>
      <c r="C166" s="912"/>
      <c r="D166" s="915"/>
      <c r="E166" s="970">
        <f>$I$2</f>
        <v>0.1</v>
      </c>
      <c r="F166" s="967"/>
      <c r="G166" s="968">
        <f>+G165*E166</f>
        <v>1532.3200000000002</v>
      </c>
    </row>
    <row r="167" spans="1:7" ht="15" thickBot="1">
      <c r="A167" s="971" t="s">
        <v>85</v>
      </c>
      <c r="B167" s="972" t="s">
        <v>86</v>
      </c>
      <c r="C167" s="973"/>
      <c r="D167" s="973"/>
      <c r="E167" s="974"/>
      <c r="F167" s="975"/>
      <c r="G167" s="976">
        <f>+G166+G165</f>
        <v>16855.52</v>
      </c>
    </row>
    <row r="168" spans="1:7" ht="15" thickTop="1"/>
    <row r="169" spans="1:7">
      <c r="A169" s="1014" t="s">
        <v>753</v>
      </c>
      <c r="B169" s="1015"/>
      <c r="C169" s="1016"/>
      <c r="D169" s="1016"/>
      <c r="E169" s="1017"/>
      <c r="F169" s="1016"/>
    </row>
    <row r="170" spans="1:7" ht="15" thickBot="1">
      <c r="A170" s="1018"/>
      <c r="B170" s="1019" t="s">
        <v>316</v>
      </c>
      <c r="C170" s="1020"/>
      <c r="D170" s="1020"/>
      <c r="E170" s="1021"/>
    </row>
    <row r="171" spans="1:7" ht="15" thickTop="1">
      <c r="A171" s="1797" t="s">
        <v>275</v>
      </c>
      <c r="B171" s="1799" t="s">
        <v>295</v>
      </c>
      <c r="C171" s="1799" t="s">
        <v>276</v>
      </c>
      <c r="D171" s="1799" t="s">
        <v>277</v>
      </c>
      <c r="E171" s="1801" t="s">
        <v>278</v>
      </c>
      <c r="F171" s="916" t="s">
        <v>279</v>
      </c>
      <c r="G171" s="916" t="s">
        <v>280</v>
      </c>
    </row>
    <row r="172" spans="1:7">
      <c r="A172" s="1798"/>
      <c r="B172" s="1800"/>
      <c r="C172" s="1800"/>
      <c r="D172" s="1800"/>
      <c r="E172" s="1802"/>
      <c r="F172" s="917" t="s">
        <v>67</v>
      </c>
      <c r="G172" s="917" t="s">
        <v>67</v>
      </c>
    </row>
    <row r="173" spans="1:7">
      <c r="A173" s="918" t="s">
        <v>68</v>
      </c>
      <c r="B173" s="919" t="s">
        <v>298</v>
      </c>
      <c r="C173" s="920"/>
      <c r="D173" s="920"/>
      <c r="E173" s="921"/>
      <c r="F173" s="922"/>
      <c r="G173" s="922"/>
    </row>
    <row r="174" spans="1:7">
      <c r="A174" s="918"/>
      <c r="B174" s="923" t="s">
        <v>69</v>
      </c>
      <c r="C174" s="924" t="s">
        <v>70</v>
      </c>
      <c r="D174" s="924" t="s">
        <v>71</v>
      </c>
      <c r="E174" s="925">
        <v>1.6000000000000001E-3</v>
      </c>
      <c r="F174" s="926">
        <f>Upah!$F$26</f>
        <v>130000</v>
      </c>
      <c r="G174" s="926">
        <f>+F174*E174</f>
        <v>208</v>
      </c>
    </row>
    <row r="175" spans="1:7">
      <c r="A175" s="918"/>
      <c r="B175" s="923" t="s">
        <v>56</v>
      </c>
      <c r="C175" s="993" t="s">
        <v>72</v>
      </c>
      <c r="D175" s="993" t="s">
        <v>71</v>
      </c>
      <c r="E175" s="994">
        <v>1.6000000000000001E-3</v>
      </c>
      <c r="F175" s="995">
        <f>Upah!$F$19</f>
        <v>140000</v>
      </c>
      <c r="G175" s="926">
        <f t="shared" ref="G175:G176" si="9">+F175*E175</f>
        <v>224</v>
      </c>
    </row>
    <row r="176" spans="1:7">
      <c r="A176" s="918"/>
      <c r="B176" s="923" t="s">
        <v>73</v>
      </c>
      <c r="C176" s="993" t="s">
        <v>74</v>
      </c>
      <c r="D176" s="993" t="s">
        <v>71</v>
      </c>
      <c r="E176" s="994">
        <v>1.6000000000000001E-4</v>
      </c>
      <c r="F176" s="995">
        <f>Upah!$F$10</f>
        <v>150000</v>
      </c>
      <c r="G176" s="926">
        <f t="shared" si="9"/>
        <v>24.000000000000004</v>
      </c>
    </row>
    <row r="177" spans="1:7">
      <c r="A177" s="918"/>
      <c r="B177" s="923" t="s">
        <v>50</v>
      </c>
      <c r="C177" s="927" t="s">
        <v>75</v>
      </c>
      <c r="D177" s="927" t="s">
        <v>71</v>
      </c>
      <c r="E177" s="928">
        <v>1.6000000000000001E-4</v>
      </c>
      <c r="F177" s="929">
        <f>Upah!$F$8</f>
        <v>170000</v>
      </c>
      <c r="G177" s="929">
        <f>+F177*E177</f>
        <v>27.200000000000003</v>
      </c>
    </row>
    <row r="178" spans="1:7">
      <c r="A178" s="918"/>
      <c r="B178" s="930"/>
      <c r="C178" s="931" t="s">
        <v>632</v>
      </c>
      <c r="D178" s="932"/>
      <c r="E178" s="933"/>
      <c r="F178" s="934"/>
      <c r="G178" s="935">
        <f>SUM(G174:G177)</f>
        <v>483.2</v>
      </c>
    </row>
    <row r="179" spans="1:7">
      <c r="A179" s="918" t="s">
        <v>77</v>
      </c>
      <c r="B179" s="936" t="s">
        <v>299</v>
      </c>
      <c r="C179" s="996"/>
      <c r="D179" s="996"/>
      <c r="E179" s="997"/>
      <c r="F179" s="998"/>
      <c r="G179" s="926"/>
    </row>
    <row r="180" spans="1:7">
      <c r="A180" s="918"/>
      <c r="B180" s="1006" t="s">
        <v>312</v>
      </c>
      <c r="C180" s="1007"/>
      <c r="D180" s="1008" t="s">
        <v>268</v>
      </c>
      <c r="E180" s="951">
        <v>1.02</v>
      </c>
      <c r="F180" s="926">
        <f>Bahan!$E$117</f>
        <v>14000</v>
      </c>
      <c r="G180" s="926">
        <f t="shared" ref="G180:G181" si="10">+F180*E180</f>
        <v>14280</v>
      </c>
    </row>
    <row r="181" spans="1:7">
      <c r="A181" s="918"/>
      <c r="B181" s="1009" t="s">
        <v>313</v>
      </c>
      <c r="C181" s="1010"/>
      <c r="D181" s="1011" t="s">
        <v>268</v>
      </c>
      <c r="E181" s="1012">
        <v>2.8000000000000001E-2</v>
      </c>
      <c r="F181" s="1013">
        <f>Bahan!$E$123</f>
        <v>20000</v>
      </c>
      <c r="G181" s="926">
        <f t="shared" si="10"/>
        <v>560</v>
      </c>
    </row>
    <row r="182" spans="1:7">
      <c r="A182" s="918"/>
      <c r="B182" s="930"/>
      <c r="C182" s="940" t="s">
        <v>642</v>
      </c>
      <c r="D182" s="941"/>
      <c r="E182" s="942"/>
      <c r="F182" s="943"/>
      <c r="G182" s="944">
        <f>SUM(G180:G181)</f>
        <v>14840</v>
      </c>
    </row>
    <row r="183" spans="1:7">
      <c r="A183" s="918" t="s">
        <v>80</v>
      </c>
      <c r="B183" s="945" t="s">
        <v>250</v>
      </c>
      <c r="C183" s="1022"/>
      <c r="D183" s="1022"/>
      <c r="E183" s="1023"/>
      <c r="F183" s="948"/>
      <c r="G183" s="948">
        <v>0</v>
      </c>
    </row>
    <row r="184" spans="1:7" s="18" customFormat="1">
      <c r="A184" s="918"/>
      <c r="B184" s="936" t="s">
        <v>317</v>
      </c>
      <c r="C184" s="1024"/>
      <c r="D184" s="1024" t="s">
        <v>51</v>
      </c>
      <c r="E184" s="1025">
        <v>0.04</v>
      </c>
      <c r="F184" s="926">
        <f>Alat!$E$16</f>
        <v>49550</v>
      </c>
      <c r="G184" s="926">
        <f t="shared" ref="G184:G185" si="11">+F184*E184</f>
        <v>1982</v>
      </c>
    </row>
    <row r="185" spans="1:7" s="18" customFormat="1">
      <c r="A185" s="918"/>
      <c r="B185" s="1026" t="s">
        <v>318</v>
      </c>
      <c r="C185" s="1027"/>
      <c r="D185" s="1027" t="s">
        <v>51</v>
      </c>
      <c r="E185" s="1028">
        <v>0.04</v>
      </c>
      <c r="F185" s="1013">
        <f>Alat!$E$17</f>
        <v>45045.362208187398</v>
      </c>
      <c r="G185" s="926">
        <f t="shared" si="11"/>
        <v>1801.8144883274961</v>
      </c>
    </row>
    <row r="186" spans="1:7">
      <c r="A186" s="960"/>
      <c r="B186" s="961"/>
      <c r="C186" s="962" t="s">
        <v>287</v>
      </c>
      <c r="D186" s="941"/>
      <c r="E186" s="942"/>
      <c r="F186" s="943"/>
      <c r="G186" s="944">
        <f>SUM(G183:G185)</f>
        <v>3783.8144883274963</v>
      </c>
    </row>
    <row r="187" spans="1:7">
      <c r="A187" s="963" t="s">
        <v>83</v>
      </c>
      <c r="B187" s="964" t="s">
        <v>292</v>
      </c>
      <c r="C187" s="965"/>
      <c r="D187" s="915"/>
      <c r="E187" s="966"/>
      <c r="F187" s="967"/>
      <c r="G187" s="968">
        <f>+G186+G182+G178</f>
        <v>19107.014488327495</v>
      </c>
    </row>
    <row r="188" spans="1:7">
      <c r="A188" s="963" t="s">
        <v>84</v>
      </c>
      <c r="B188" s="969" t="s">
        <v>293</v>
      </c>
      <c r="C188" s="912"/>
      <c r="D188" s="915"/>
      <c r="E188" s="970">
        <f>$I$2</f>
        <v>0.1</v>
      </c>
      <c r="F188" s="967"/>
      <c r="G188" s="968">
        <f>+G187*E188</f>
        <v>1910.7014488327495</v>
      </c>
    </row>
    <row r="189" spans="1:7" ht="15" thickBot="1">
      <c r="A189" s="971" t="s">
        <v>85</v>
      </c>
      <c r="B189" s="972" t="s">
        <v>86</v>
      </c>
      <c r="C189" s="973"/>
      <c r="D189" s="973"/>
      <c r="E189" s="974"/>
      <c r="F189" s="975"/>
      <c r="G189" s="976">
        <f>+G188+G187</f>
        <v>21017.715937160247</v>
      </c>
    </row>
    <row r="190" spans="1:7" ht="15" thickTop="1">
      <c r="A190" s="1029"/>
      <c r="B190" s="1029"/>
      <c r="C190" s="1029"/>
      <c r="D190" s="1029"/>
      <c r="E190" s="1030"/>
      <c r="F190" s="1029"/>
      <c r="G190" s="1031"/>
    </row>
    <row r="191" spans="1:7" s="111" customFormat="1">
      <c r="A191" s="1016"/>
      <c r="B191" s="1016"/>
      <c r="C191" s="1016"/>
      <c r="D191" s="1016"/>
      <c r="E191" s="1017"/>
      <c r="F191" s="1016"/>
      <c r="G191" s="1032"/>
    </row>
    <row r="192" spans="1:7" s="111" customFormat="1">
      <c r="A192" s="1016"/>
      <c r="B192" s="1016"/>
      <c r="C192" s="1016"/>
      <c r="D192" s="1016"/>
      <c r="E192" s="1017"/>
      <c r="F192" s="1016"/>
      <c r="G192" s="1032"/>
    </row>
    <row r="193" spans="1:7" s="111" customFormat="1">
      <c r="A193" s="1016"/>
      <c r="B193" s="1016"/>
      <c r="C193" s="1016"/>
      <c r="D193" s="1016"/>
      <c r="E193" s="1017"/>
      <c r="F193" s="1016"/>
      <c r="G193" s="1032"/>
    </row>
    <row r="194" spans="1:7" s="111" customFormat="1">
      <c r="A194" s="1016"/>
      <c r="B194" s="1016"/>
      <c r="C194" s="1016"/>
      <c r="D194" s="1016"/>
      <c r="E194" s="1017"/>
      <c r="F194" s="1016"/>
      <c r="G194" s="1032"/>
    </row>
    <row r="195" spans="1:7" s="19" customFormat="1">
      <c r="A195" s="992" t="s">
        <v>331</v>
      </c>
      <c r="B195" s="10"/>
      <c r="C195" s="10"/>
      <c r="D195" s="10"/>
      <c r="E195" s="1004"/>
      <c r="F195" s="10"/>
      <c r="G195" s="46"/>
    </row>
    <row r="196" spans="1:7" ht="15" thickBot="1">
      <c r="A196" s="992" t="s">
        <v>319</v>
      </c>
    </row>
    <row r="197" spans="1:7" ht="15" thickTop="1">
      <c r="A197" s="1797" t="s">
        <v>275</v>
      </c>
      <c r="B197" s="1799" t="s">
        <v>295</v>
      </c>
      <c r="C197" s="1799" t="s">
        <v>276</v>
      </c>
      <c r="D197" s="1799" t="s">
        <v>277</v>
      </c>
      <c r="E197" s="1801" t="s">
        <v>278</v>
      </c>
      <c r="F197" s="916" t="s">
        <v>279</v>
      </c>
      <c r="G197" s="916" t="s">
        <v>280</v>
      </c>
    </row>
    <row r="198" spans="1:7">
      <c r="A198" s="1798"/>
      <c r="B198" s="1800"/>
      <c r="C198" s="1800"/>
      <c r="D198" s="1800"/>
      <c r="E198" s="1802"/>
      <c r="F198" s="917" t="s">
        <v>67</v>
      </c>
      <c r="G198" s="917" t="s">
        <v>67</v>
      </c>
    </row>
    <row r="199" spans="1:7">
      <c r="A199" s="918" t="s">
        <v>68</v>
      </c>
      <c r="B199" s="919" t="s">
        <v>298</v>
      </c>
      <c r="C199" s="920"/>
      <c r="D199" s="920"/>
      <c r="E199" s="921"/>
      <c r="F199" s="922"/>
      <c r="G199" s="922"/>
    </row>
    <row r="200" spans="1:7">
      <c r="A200" s="918"/>
      <c r="B200" s="923" t="s">
        <v>69</v>
      </c>
      <c r="C200" s="924" t="s">
        <v>70</v>
      </c>
      <c r="D200" s="924" t="s">
        <v>71</v>
      </c>
      <c r="E200" s="925">
        <v>0.52</v>
      </c>
      <c r="F200" s="926">
        <f>Upah!$F$26</f>
        <v>130000</v>
      </c>
      <c r="G200" s="926">
        <f>+F200*E200</f>
        <v>67600</v>
      </c>
    </row>
    <row r="201" spans="1:7">
      <c r="A201" s="918"/>
      <c r="B201" s="923" t="s">
        <v>57</v>
      </c>
      <c r="C201" s="993" t="s">
        <v>72</v>
      </c>
      <c r="D201" s="993" t="s">
        <v>71</v>
      </c>
      <c r="E201" s="994">
        <v>0.26</v>
      </c>
      <c r="F201" s="995">
        <f>Upah!$F$18</f>
        <v>140000</v>
      </c>
      <c r="G201" s="926">
        <f t="shared" ref="G201" si="12">+F201*E201</f>
        <v>36400</v>
      </c>
    </row>
    <row r="202" spans="1:7">
      <c r="A202" s="918"/>
      <c r="B202" s="923" t="s">
        <v>73</v>
      </c>
      <c r="C202" s="993" t="s">
        <v>74</v>
      </c>
      <c r="D202" s="993" t="s">
        <v>71</v>
      </c>
      <c r="E202" s="994">
        <v>2.5999999999999999E-2</v>
      </c>
      <c r="F202" s="995">
        <f>Upah!$F$10</f>
        <v>150000</v>
      </c>
      <c r="G202" s="926">
        <f t="shared" ref="G202" si="13">+F202*E202</f>
        <v>3900</v>
      </c>
    </row>
    <row r="203" spans="1:7">
      <c r="A203" s="918"/>
      <c r="B203" s="923" t="s">
        <v>50</v>
      </c>
      <c r="C203" s="927" t="s">
        <v>75</v>
      </c>
      <c r="D203" s="927" t="s">
        <v>71</v>
      </c>
      <c r="E203" s="928">
        <v>8.9999999999999993E-3</v>
      </c>
      <c r="F203" s="929">
        <f>Upah!$F$8</f>
        <v>170000</v>
      </c>
      <c r="G203" s="929">
        <f>+F203*E203</f>
        <v>1529.9999999999998</v>
      </c>
    </row>
    <row r="204" spans="1:7">
      <c r="A204" s="918"/>
      <c r="B204" s="930"/>
      <c r="C204" s="931" t="s">
        <v>632</v>
      </c>
      <c r="D204" s="932"/>
      <c r="E204" s="933"/>
      <c r="F204" s="934"/>
      <c r="G204" s="935">
        <f>SUM(G200:G203)</f>
        <v>109430</v>
      </c>
    </row>
    <row r="205" spans="1:7">
      <c r="A205" s="918" t="s">
        <v>77</v>
      </c>
      <c r="B205" s="936" t="s">
        <v>299</v>
      </c>
      <c r="C205" s="996"/>
      <c r="D205" s="996"/>
      <c r="E205" s="997"/>
      <c r="F205" s="998"/>
      <c r="G205" s="926"/>
    </row>
    <row r="206" spans="1:7">
      <c r="A206" s="918"/>
      <c r="B206" s="1006" t="s">
        <v>755</v>
      </c>
      <c r="C206" s="953"/>
      <c r="D206" s="950" t="s">
        <v>268</v>
      </c>
      <c r="E206" s="1033">
        <v>1.7999999999999999E-2</v>
      </c>
      <c r="F206" s="1034">
        <f>F228</f>
        <v>2600000</v>
      </c>
      <c r="G206" s="926">
        <f t="shared" ref="G206:G208" si="14">+F206*E206</f>
        <v>46800</v>
      </c>
    </row>
    <row r="207" spans="1:7" s="19" customFormat="1">
      <c r="A207" s="918"/>
      <c r="B207" s="1035" t="s">
        <v>320</v>
      </c>
      <c r="C207" s="1036"/>
      <c r="D207" s="1037" t="s">
        <v>268</v>
      </c>
      <c r="E207" s="1038">
        <v>0.3</v>
      </c>
      <c r="F207" s="1039">
        <f>Bahan!E229</f>
        <v>20000</v>
      </c>
      <c r="G207" s="926">
        <f t="shared" ref="G207" si="15">+F207*E207</f>
        <v>6000</v>
      </c>
    </row>
    <row r="208" spans="1:7">
      <c r="A208" s="918"/>
      <c r="B208" s="1009" t="s">
        <v>321</v>
      </c>
      <c r="C208" s="1040"/>
      <c r="D208" s="1041" t="s">
        <v>296</v>
      </c>
      <c r="E208" s="1042">
        <v>0.1</v>
      </c>
      <c r="F208" s="1013">
        <f>Bahan!$E$171</f>
        <v>6800</v>
      </c>
      <c r="G208" s="926">
        <f t="shared" si="14"/>
        <v>680</v>
      </c>
    </row>
    <row r="209" spans="1:7">
      <c r="A209" s="918"/>
      <c r="B209" s="930"/>
      <c r="C209" s="940" t="s">
        <v>642</v>
      </c>
      <c r="D209" s="941"/>
      <c r="E209" s="942"/>
      <c r="F209" s="943"/>
      <c r="G209" s="944">
        <f>SUM(G206:G208)</f>
        <v>53480</v>
      </c>
    </row>
    <row r="210" spans="1:7">
      <c r="A210" s="918" t="s">
        <v>80</v>
      </c>
      <c r="B210" s="945" t="s">
        <v>250</v>
      </c>
      <c r="C210" s="1022"/>
      <c r="D210" s="1022"/>
      <c r="E210" s="1023"/>
      <c r="F210" s="948"/>
      <c r="G210" s="948">
        <v>0</v>
      </c>
    </row>
    <row r="211" spans="1:7">
      <c r="A211" s="960"/>
      <c r="B211" s="961"/>
      <c r="C211" s="962" t="s">
        <v>287</v>
      </c>
      <c r="D211" s="941"/>
      <c r="E211" s="942"/>
      <c r="F211" s="943"/>
      <c r="G211" s="944">
        <f>SUM(G210:G210)</f>
        <v>0</v>
      </c>
    </row>
    <row r="212" spans="1:7">
      <c r="A212" s="963" t="s">
        <v>83</v>
      </c>
      <c r="B212" s="964" t="s">
        <v>292</v>
      </c>
      <c r="C212" s="965"/>
      <c r="D212" s="915"/>
      <c r="E212" s="966"/>
      <c r="F212" s="967"/>
      <c r="G212" s="968">
        <f>+G211+G209+G204</f>
        <v>162910</v>
      </c>
    </row>
    <row r="213" spans="1:7">
      <c r="A213" s="963" t="s">
        <v>84</v>
      </c>
      <c r="B213" s="969" t="s">
        <v>293</v>
      </c>
      <c r="C213" s="912"/>
      <c r="D213" s="915"/>
      <c r="E213" s="970">
        <f>$I$2</f>
        <v>0.1</v>
      </c>
      <c r="F213" s="967"/>
      <c r="G213" s="968">
        <f>+G212*E213</f>
        <v>16291</v>
      </c>
    </row>
    <row r="214" spans="1:7" ht="15" thickBot="1">
      <c r="A214" s="971" t="s">
        <v>85</v>
      </c>
      <c r="B214" s="972" t="s">
        <v>86</v>
      </c>
      <c r="C214" s="973"/>
      <c r="D214" s="973"/>
      <c r="E214" s="974"/>
      <c r="F214" s="975"/>
      <c r="G214" s="976">
        <f>+G213+G212</f>
        <v>179201</v>
      </c>
    </row>
    <row r="215" spans="1:7" ht="15" thickTop="1"/>
    <row r="216" spans="1:7" ht="15" thickBot="1">
      <c r="A216" s="992" t="s">
        <v>326</v>
      </c>
    </row>
    <row r="217" spans="1:7" ht="15" thickTop="1">
      <c r="A217" s="1797" t="s">
        <v>275</v>
      </c>
      <c r="B217" s="1799" t="s">
        <v>295</v>
      </c>
      <c r="C217" s="1799" t="s">
        <v>276</v>
      </c>
      <c r="D217" s="1799" t="s">
        <v>277</v>
      </c>
      <c r="E217" s="1801" t="s">
        <v>278</v>
      </c>
      <c r="F217" s="916" t="s">
        <v>279</v>
      </c>
      <c r="G217" s="916" t="s">
        <v>280</v>
      </c>
    </row>
    <row r="218" spans="1:7">
      <c r="A218" s="1798"/>
      <c r="B218" s="1800"/>
      <c r="C218" s="1800"/>
      <c r="D218" s="1800"/>
      <c r="E218" s="1802"/>
      <c r="F218" s="917" t="s">
        <v>67</v>
      </c>
      <c r="G218" s="917" t="s">
        <v>67</v>
      </c>
    </row>
    <row r="219" spans="1:7">
      <c r="A219" s="918" t="s">
        <v>68</v>
      </c>
      <c r="B219" s="919" t="s">
        <v>298</v>
      </c>
      <c r="C219" s="920"/>
      <c r="D219" s="920"/>
      <c r="E219" s="921"/>
      <c r="F219" s="922"/>
      <c r="G219" s="922"/>
    </row>
    <row r="220" spans="1:7">
      <c r="A220" s="918"/>
      <c r="B220" s="923" t="s">
        <v>69</v>
      </c>
      <c r="C220" s="924" t="s">
        <v>70</v>
      </c>
      <c r="D220" s="924" t="s">
        <v>71</v>
      </c>
      <c r="E220" s="925">
        <v>0.66</v>
      </c>
      <c r="F220" s="926">
        <f>Upah!$F$26</f>
        <v>130000</v>
      </c>
      <c r="G220" s="926">
        <f>+F220*E220</f>
        <v>85800</v>
      </c>
    </row>
    <row r="221" spans="1:7">
      <c r="A221" s="918"/>
      <c r="B221" s="923" t="s">
        <v>57</v>
      </c>
      <c r="C221" s="993" t="s">
        <v>72</v>
      </c>
      <c r="D221" s="993" t="s">
        <v>71</v>
      </c>
      <c r="E221" s="994">
        <v>0.33</v>
      </c>
      <c r="F221" s="995">
        <f>Upah!$F$18</f>
        <v>140000</v>
      </c>
      <c r="G221" s="926">
        <f t="shared" ref="G221:G222" si="16">+F221*E221</f>
        <v>46200</v>
      </c>
    </row>
    <row r="222" spans="1:7">
      <c r="A222" s="918"/>
      <c r="B222" s="923" t="s">
        <v>73</v>
      </c>
      <c r="C222" s="993" t="s">
        <v>74</v>
      </c>
      <c r="D222" s="993" t="s">
        <v>71</v>
      </c>
      <c r="E222" s="994">
        <v>3.3000000000000002E-2</v>
      </c>
      <c r="F222" s="995">
        <f>Upah!$F$10</f>
        <v>150000</v>
      </c>
      <c r="G222" s="926">
        <f t="shared" si="16"/>
        <v>4950</v>
      </c>
    </row>
    <row r="223" spans="1:7">
      <c r="A223" s="918"/>
      <c r="B223" s="923" t="s">
        <v>50</v>
      </c>
      <c r="C223" s="927" t="s">
        <v>75</v>
      </c>
      <c r="D223" s="927" t="s">
        <v>71</v>
      </c>
      <c r="E223" s="928">
        <v>1.0999999999999999E-2</v>
      </c>
      <c r="F223" s="929">
        <f>Upah!$F$8</f>
        <v>170000</v>
      </c>
      <c r="G223" s="929">
        <f>+F223*E223</f>
        <v>1870</v>
      </c>
    </row>
    <row r="224" spans="1:7">
      <c r="A224" s="918"/>
      <c r="B224" s="930"/>
      <c r="C224" s="931" t="s">
        <v>632</v>
      </c>
      <c r="D224" s="932"/>
      <c r="E224" s="933"/>
      <c r="F224" s="934"/>
      <c r="G224" s="935">
        <f>SUM(G220:G223)</f>
        <v>138820</v>
      </c>
    </row>
    <row r="225" spans="1:7">
      <c r="A225" s="918" t="s">
        <v>77</v>
      </c>
      <c r="B225" s="936" t="s">
        <v>299</v>
      </c>
      <c r="C225" s="996"/>
      <c r="D225" s="996"/>
      <c r="E225" s="997"/>
      <c r="F225" s="998"/>
      <c r="G225" s="926"/>
    </row>
    <row r="226" spans="1:7">
      <c r="A226" s="918"/>
      <c r="B226" s="1006" t="s">
        <v>327</v>
      </c>
      <c r="C226" s="953"/>
      <c r="D226" s="950" t="s">
        <v>268</v>
      </c>
      <c r="E226" s="1033">
        <v>0.4</v>
      </c>
      <c r="F226" s="926">
        <f>Bahan!E230</f>
        <v>20000</v>
      </c>
      <c r="G226" s="926">
        <f t="shared" ref="G226:G230" si="17">+F226*E226</f>
        <v>8000</v>
      </c>
    </row>
    <row r="227" spans="1:7">
      <c r="A227" s="918"/>
      <c r="B227" s="1035" t="s">
        <v>321</v>
      </c>
      <c r="C227" s="1036"/>
      <c r="D227" s="1037" t="s">
        <v>296</v>
      </c>
      <c r="E227" s="1038">
        <v>0.2</v>
      </c>
      <c r="F227" s="1034">
        <f>Bahan!$E$171</f>
        <v>6800</v>
      </c>
      <c r="G227" s="926">
        <f t="shared" si="17"/>
        <v>1360</v>
      </c>
    </row>
    <row r="228" spans="1:7" s="19" customFormat="1">
      <c r="A228" s="1043"/>
      <c r="B228" s="1044" t="s">
        <v>325</v>
      </c>
      <c r="C228" s="1045"/>
      <c r="D228" s="1046" t="s">
        <v>270</v>
      </c>
      <c r="E228" s="1047">
        <v>4.6499999999999996E-3</v>
      </c>
      <c r="F228" s="1034">
        <f>Bahan!E195</f>
        <v>2600000</v>
      </c>
      <c r="G228" s="926">
        <f t="shared" ref="G228:G229" si="18">+F228*E228</f>
        <v>12089.999999999998</v>
      </c>
    </row>
    <row r="229" spans="1:7" s="19" customFormat="1" ht="15" customHeight="1">
      <c r="A229" s="1043"/>
      <c r="B229" s="1048" t="s">
        <v>328</v>
      </c>
      <c r="C229" s="1045"/>
      <c r="D229" s="1046" t="s">
        <v>329</v>
      </c>
      <c r="E229" s="1047">
        <v>0.12705</v>
      </c>
      <c r="F229" s="1039">
        <f>Bahan!E256</f>
        <v>131000</v>
      </c>
      <c r="G229" s="926">
        <f t="shared" si="18"/>
        <v>16643.55</v>
      </c>
    </row>
    <row r="230" spans="1:7" ht="15" customHeight="1">
      <c r="A230" s="918"/>
      <c r="B230" s="1009" t="s">
        <v>330</v>
      </c>
      <c r="C230" s="1040"/>
      <c r="D230" s="1041" t="s">
        <v>306</v>
      </c>
      <c r="E230" s="1042">
        <v>0.65</v>
      </c>
      <c r="F230" s="1013">
        <f>Bahan!E188</f>
        <v>9000</v>
      </c>
      <c r="G230" s="926">
        <f t="shared" si="17"/>
        <v>5850</v>
      </c>
    </row>
    <row r="231" spans="1:7">
      <c r="A231" s="918"/>
      <c r="B231" s="930"/>
      <c r="C231" s="940" t="s">
        <v>642</v>
      </c>
      <c r="D231" s="941"/>
      <c r="E231" s="942"/>
      <c r="F231" s="943"/>
      <c r="G231" s="944">
        <f>SUM(G226:G230)</f>
        <v>43943.55</v>
      </c>
    </row>
    <row r="232" spans="1:7">
      <c r="A232" s="918" t="s">
        <v>80</v>
      </c>
      <c r="B232" s="945" t="s">
        <v>250</v>
      </c>
      <c r="C232" s="1022"/>
      <c r="D232" s="1022"/>
      <c r="E232" s="1023"/>
      <c r="F232" s="948"/>
      <c r="G232" s="948">
        <v>0</v>
      </c>
    </row>
    <row r="233" spans="1:7">
      <c r="A233" s="960"/>
      <c r="B233" s="961"/>
      <c r="C233" s="962" t="s">
        <v>287</v>
      </c>
      <c r="D233" s="941"/>
      <c r="E233" s="942"/>
      <c r="F233" s="943"/>
      <c r="G233" s="944">
        <f>SUM(G232:G232)</f>
        <v>0</v>
      </c>
    </row>
    <row r="234" spans="1:7">
      <c r="A234" s="963" t="s">
        <v>83</v>
      </c>
      <c r="B234" s="964" t="s">
        <v>292</v>
      </c>
      <c r="C234" s="965"/>
      <c r="D234" s="915"/>
      <c r="E234" s="966"/>
      <c r="F234" s="967"/>
      <c r="G234" s="968">
        <f>+G233+G231+G224</f>
        <v>182763.55</v>
      </c>
    </row>
    <row r="235" spans="1:7">
      <c r="A235" s="963" t="s">
        <v>84</v>
      </c>
      <c r="B235" s="969" t="s">
        <v>293</v>
      </c>
      <c r="C235" s="912"/>
      <c r="D235" s="915"/>
      <c r="E235" s="970">
        <f>$I$2</f>
        <v>0.1</v>
      </c>
      <c r="F235" s="967"/>
      <c r="G235" s="968">
        <f>+G234*E235</f>
        <v>18276.355</v>
      </c>
    </row>
    <row r="236" spans="1:7" ht="15" thickBot="1">
      <c r="A236" s="971" t="s">
        <v>85</v>
      </c>
      <c r="B236" s="972" t="s">
        <v>86</v>
      </c>
      <c r="C236" s="973"/>
      <c r="D236" s="973"/>
      <c r="E236" s="974"/>
      <c r="F236" s="975"/>
      <c r="G236" s="976">
        <f>+G235+G234</f>
        <v>201039.905</v>
      </c>
    </row>
    <row r="237" spans="1:7" ht="15" thickTop="1"/>
    <row r="238" spans="1:7" s="111" customFormat="1">
      <c r="A238" s="10"/>
      <c r="B238" s="10"/>
      <c r="C238" s="10"/>
      <c r="D238" s="10"/>
      <c r="E238" s="1004"/>
      <c r="F238" s="10"/>
      <c r="G238" s="46"/>
    </row>
    <row r="239" spans="1:7">
      <c r="A239" s="992" t="s">
        <v>343</v>
      </c>
    </row>
    <row r="240" spans="1:7" ht="15" thickBot="1">
      <c r="A240" s="992" t="s">
        <v>344</v>
      </c>
    </row>
    <row r="241" spans="1:7" ht="15" thickTop="1">
      <c r="A241" s="1797" t="s">
        <v>275</v>
      </c>
      <c r="B241" s="1799" t="s">
        <v>295</v>
      </c>
      <c r="C241" s="1799" t="s">
        <v>276</v>
      </c>
      <c r="D241" s="1799" t="s">
        <v>277</v>
      </c>
      <c r="E241" s="1801" t="s">
        <v>278</v>
      </c>
      <c r="F241" s="916" t="s">
        <v>279</v>
      </c>
      <c r="G241" s="916" t="s">
        <v>280</v>
      </c>
    </row>
    <row r="242" spans="1:7">
      <c r="A242" s="1798"/>
      <c r="B242" s="1800"/>
      <c r="C242" s="1800"/>
      <c r="D242" s="1800"/>
      <c r="E242" s="1802"/>
      <c r="F242" s="917" t="s">
        <v>67</v>
      </c>
      <c r="G242" s="917" t="s">
        <v>67</v>
      </c>
    </row>
    <row r="243" spans="1:7">
      <c r="A243" s="918" t="s">
        <v>68</v>
      </c>
      <c r="B243" s="919" t="s">
        <v>298</v>
      </c>
      <c r="C243" s="920"/>
      <c r="D243" s="920"/>
      <c r="E243" s="921"/>
      <c r="F243" s="922"/>
      <c r="G243" s="922"/>
    </row>
    <row r="244" spans="1:7">
      <c r="A244" s="918"/>
      <c r="B244" s="923" t="s">
        <v>69</v>
      </c>
      <c r="C244" s="924" t="s">
        <v>70</v>
      </c>
      <c r="D244" s="924" t="s">
        <v>71</v>
      </c>
      <c r="E244" s="925">
        <v>1</v>
      </c>
      <c r="F244" s="926">
        <f>Upah!$F$26</f>
        <v>130000</v>
      </c>
      <c r="G244" s="926">
        <f>+F244*E244</f>
        <v>130000</v>
      </c>
    </row>
    <row r="245" spans="1:7">
      <c r="A245" s="918"/>
      <c r="B245" s="923" t="s">
        <v>54</v>
      </c>
      <c r="C245" s="993" t="s">
        <v>72</v>
      </c>
      <c r="D245" s="993" t="s">
        <v>71</v>
      </c>
      <c r="E245" s="994">
        <v>0.25</v>
      </c>
      <c r="F245" s="995">
        <f>Upah!$F$17</f>
        <v>140000</v>
      </c>
      <c r="G245" s="926">
        <f t="shared" ref="G245:G246" si="19">+F245*E245</f>
        <v>35000</v>
      </c>
    </row>
    <row r="246" spans="1:7">
      <c r="A246" s="918"/>
      <c r="B246" s="923" t="s">
        <v>73</v>
      </c>
      <c r="C246" s="993" t="s">
        <v>74</v>
      </c>
      <c r="D246" s="993" t="s">
        <v>71</v>
      </c>
      <c r="E246" s="994">
        <v>2.5000000000000001E-2</v>
      </c>
      <c r="F246" s="995">
        <f>Upah!$F$10</f>
        <v>150000</v>
      </c>
      <c r="G246" s="926">
        <f t="shared" si="19"/>
        <v>3750</v>
      </c>
    </row>
    <row r="247" spans="1:7">
      <c r="A247" s="918"/>
      <c r="B247" s="923" t="s">
        <v>50</v>
      </c>
      <c r="C247" s="927" t="s">
        <v>75</v>
      </c>
      <c r="D247" s="927" t="s">
        <v>71</v>
      </c>
      <c r="E247" s="928">
        <v>0.1</v>
      </c>
      <c r="F247" s="929">
        <f>Upah!$F$8</f>
        <v>170000</v>
      </c>
      <c r="G247" s="929">
        <f>+F247*E247</f>
        <v>17000</v>
      </c>
    </row>
    <row r="248" spans="1:7">
      <c r="A248" s="918"/>
      <c r="B248" s="930"/>
      <c r="C248" s="931" t="s">
        <v>632</v>
      </c>
      <c r="D248" s="932"/>
      <c r="E248" s="933"/>
      <c r="F248" s="934"/>
      <c r="G248" s="935">
        <f>SUM(G244:G247)</f>
        <v>185750</v>
      </c>
    </row>
    <row r="249" spans="1:7">
      <c r="A249" s="918" t="s">
        <v>77</v>
      </c>
      <c r="B249" s="936" t="s">
        <v>299</v>
      </c>
      <c r="C249" s="996"/>
      <c r="D249" s="996"/>
      <c r="E249" s="997"/>
      <c r="F249" s="998"/>
      <c r="G249" s="926"/>
    </row>
    <row r="250" spans="1:7">
      <c r="A250" s="918"/>
      <c r="B250" s="1006" t="s">
        <v>87</v>
      </c>
      <c r="C250" s="953"/>
      <c r="D250" s="950" t="s">
        <v>268</v>
      </c>
      <c r="E250" s="1033">
        <v>267</v>
      </c>
      <c r="F250" s="926">
        <f>Bahan!$E$286</f>
        <v>1450</v>
      </c>
      <c r="G250" s="926">
        <f t="shared" ref="G250:G253" si="20">+F250*E250</f>
        <v>387150</v>
      </c>
    </row>
    <row r="251" spans="1:7">
      <c r="A251" s="918"/>
      <c r="B251" s="1035" t="s">
        <v>332</v>
      </c>
      <c r="C251" s="1036"/>
      <c r="D251" s="1037" t="s">
        <v>268</v>
      </c>
      <c r="E251" s="1038">
        <v>871</v>
      </c>
      <c r="F251" s="926">
        <f>Bahan!$E$105</f>
        <v>282.14285714285717</v>
      </c>
      <c r="G251" s="926">
        <f t="shared" si="20"/>
        <v>245746.42857142858</v>
      </c>
    </row>
    <row r="252" spans="1:7">
      <c r="A252" s="1043"/>
      <c r="B252" s="1044" t="s">
        <v>333</v>
      </c>
      <c r="C252" s="1045"/>
      <c r="D252" s="1046" t="s">
        <v>268</v>
      </c>
      <c r="E252" s="1047">
        <v>1009</v>
      </c>
      <c r="F252" s="926">
        <f>Bahan!$E$102</f>
        <v>152.77777777777777</v>
      </c>
      <c r="G252" s="926">
        <f t="shared" si="20"/>
        <v>154152.77777777778</v>
      </c>
    </row>
    <row r="253" spans="1:7">
      <c r="A253" s="1043"/>
      <c r="B253" s="1048" t="s">
        <v>89</v>
      </c>
      <c r="C253" s="1045"/>
      <c r="D253" s="1046" t="s">
        <v>296</v>
      </c>
      <c r="E253" s="1047">
        <v>202</v>
      </c>
      <c r="F253" s="926">
        <f>Bahan!$E$32</f>
        <v>150</v>
      </c>
      <c r="G253" s="926">
        <f t="shared" si="20"/>
        <v>30300</v>
      </c>
    </row>
    <row r="254" spans="1:7">
      <c r="A254" s="918"/>
      <c r="B254" s="930"/>
      <c r="C254" s="940" t="s">
        <v>642</v>
      </c>
      <c r="D254" s="941"/>
      <c r="E254" s="942"/>
      <c r="F254" s="943"/>
      <c r="G254" s="944">
        <f>SUM(G250:G253)</f>
        <v>817349.20634920639</v>
      </c>
    </row>
    <row r="255" spans="1:7">
      <c r="A255" s="918" t="s">
        <v>80</v>
      </c>
      <c r="B255" s="945" t="s">
        <v>250</v>
      </c>
      <c r="C255" s="1022"/>
      <c r="D255" s="1022"/>
      <c r="E255" s="1023"/>
      <c r="F255" s="948"/>
      <c r="G255" s="948"/>
    </row>
    <row r="256" spans="1:7" s="19" customFormat="1">
      <c r="A256" s="918"/>
      <c r="B256" s="1049" t="s">
        <v>345</v>
      </c>
      <c r="C256" s="1050"/>
      <c r="D256" s="1051" t="s">
        <v>51</v>
      </c>
      <c r="E256" s="1052">
        <v>0.14749999999999999</v>
      </c>
      <c r="F256" s="1053">
        <f>Alat!$E$18</f>
        <v>182459</v>
      </c>
      <c r="G256" s="926">
        <f t="shared" ref="G256" si="21">+F256*E256</f>
        <v>26912.702499999999</v>
      </c>
    </row>
    <row r="257" spans="1:7">
      <c r="A257" s="960"/>
      <c r="B257" s="961"/>
      <c r="C257" s="962" t="s">
        <v>287</v>
      </c>
      <c r="D257" s="941"/>
      <c r="E257" s="942"/>
      <c r="F257" s="943"/>
      <c r="G257" s="944">
        <f>SUM(G256)</f>
        <v>26912.702499999999</v>
      </c>
    </row>
    <row r="258" spans="1:7">
      <c r="A258" s="963" t="s">
        <v>83</v>
      </c>
      <c r="B258" s="964" t="s">
        <v>292</v>
      </c>
      <c r="C258" s="965"/>
      <c r="D258" s="915"/>
      <c r="E258" s="966"/>
      <c r="F258" s="967"/>
      <c r="G258" s="968">
        <f>+G257+G254+G248</f>
        <v>1030011.9088492064</v>
      </c>
    </row>
    <row r="259" spans="1:7">
      <c r="A259" s="963" t="s">
        <v>84</v>
      </c>
      <c r="B259" s="969" t="s">
        <v>293</v>
      </c>
      <c r="C259" s="912"/>
      <c r="D259" s="915"/>
      <c r="E259" s="970">
        <f>$I$2</f>
        <v>0.1</v>
      </c>
      <c r="F259" s="967"/>
      <c r="G259" s="968">
        <f>+G258*E259</f>
        <v>103001.19088492065</v>
      </c>
    </row>
    <row r="260" spans="1:7" ht="15" thickBot="1">
      <c r="A260" s="971" t="s">
        <v>85</v>
      </c>
      <c r="B260" s="972" t="s">
        <v>86</v>
      </c>
      <c r="C260" s="973"/>
      <c r="D260" s="973"/>
      <c r="E260" s="974"/>
      <c r="F260" s="975"/>
      <c r="G260" s="976">
        <f>+G259+G258</f>
        <v>1133013.0997341271</v>
      </c>
    </row>
    <row r="261" spans="1:7" ht="15" thickTop="1"/>
    <row r="262" spans="1:7" ht="15" thickBot="1">
      <c r="A262" s="992" t="s">
        <v>341</v>
      </c>
    </row>
    <row r="263" spans="1:7" ht="15" thickTop="1">
      <c r="A263" s="1797" t="s">
        <v>275</v>
      </c>
      <c r="B263" s="1799" t="s">
        <v>295</v>
      </c>
      <c r="C263" s="1799" t="s">
        <v>276</v>
      </c>
      <c r="D263" s="1799" t="s">
        <v>277</v>
      </c>
      <c r="E263" s="1801" t="s">
        <v>278</v>
      </c>
      <c r="F263" s="916" t="s">
        <v>279</v>
      </c>
      <c r="G263" s="916" t="s">
        <v>280</v>
      </c>
    </row>
    <row r="264" spans="1:7">
      <c r="A264" s="1798"/>
      <c r="B264" s="1800"/>
      <c r="C264" s="1800"/>
      <c r="D264" s="1800"/>
      <c r="E264" s="1802"/>
      <c r="F264" s="917" t="s">
        <v>67</v>
      </c>
      <c r="G264" s="917" t="s">
        <v>67</v>
      </c>
    </row>
    <row r="265" spans="1:7">
      <c r="A265" s="918" t="s">
        <v>68</v>
      </c>
      <c r="B265" s="919" t="s">
        <v>298</v>
      </c>
      <c r="C265" s="920"/>
      <c r="D265" s="920"/>
      <c r="E265" s="921"/>
      <c r="F265" s="922"/>
      <c r="G265" s="922"/>
    </row>
    <row r="266" spans="1:7">
      <c r="A266" s="918"/>
      <c r="B266" s="923" t="s">
        <v>69</v>
      </c>
      <c r="C266" s="924" t="s">
        <v>70</v>
      </c>
      <c r="D266" s="924" t="s">
        <v>71</v>
      </c>
      <c r="E266" s="925">
        <v>1</v>
      </c>
      <c r="F266" s="926">
        <f>Upah!$F$26</f>
        <v>130000</v>
      </c>
      <c r="G266" s="926">
        <f>+F266*E266</f>
        <v>130000</v>
      </c>
    </row>
    <row r="267" spans="1:7">
      <c r="A267" s="918"/>
      <c r="B267" s="923" t="s">
        <v>54</v>
      </c>
      <c r="C267" s="993" t="s">
        <v>72</v>
      </c>
      <c r="D267" s="993" t="s">
        <v>71</v>
      </c>
      <c r="E267" s="994">
        <v>0.25</v>
      </c>
      <c r="F267" s="995">
        <f>Upah!$F$17</f>
        <v>140000</v>
      </c>
      <c r="G267" s="926">
        <f t="shared" ref="G267:G268" si="22">+F267*E267</f>
        <v>35000</v>
      </c>
    </row>
    <row r="268" spans="1:7">
      <c r="A268" s="918"/>
      <c r="B268" s="923" t="s">
        <v>73</v>
      </c>
      <c r="C268" s="993" t="s">
        <v>74</v>
      </c>
      <c r="D268" s="993" t="s">
        <v>71</v>
      </c>
      <c r="E268" s="994">
        <v>2.5000000000000001E-2</v>
      </c>
      <c r="F268" s="995">
        <f>Upah!$F$10</f>
        <v>150000</v>
      </c>
      <c r="G268" s="926">
        <f t="shared" si="22"/>
        <v>3750</v>
      </c>
    </row>
    <row r="269" spans="1:7">
      <c r="A269" s="918"/>
      <c r="B269" s="923" t="s">
        <v>50</v>
      </c>
      <c r="C269" s="927" t="s">
        <v>75</v>
      </c>
      <c r="D269" s="927" t="s">
        <v>71</v>
      </c>
      <c r="E269" s="928">
        <v>0.1</v>
      </c>
      <c r="F269" s="929">
        <f>Upah!$F$8</f>
        <v>170000</v>
      </c>
      <c r="G269" s="929">
        <f>+F269*E269</f>
        <v>17000</v>
      </c>
    </row>
    <row r="270" spans="1:7">
      <c r="A270" s="918"/>
      <c r="B270" s="930"/>
      <c r="C270" s="931" t="s">
        <v>632</v>
      </c>
      <c r="D270" s="932"/>
      <c r="E270" s="933"/>
      <c r="F270" s="934"/>
      <c r="G270" s="935">
        <f>SUM(G266:G269)</f>
        <v>185750</v>
      </c>
    </row>
    <row r="271" spans="1:7">
      <c r="A271" s="918" t="s">
        <v>77</v>
      </c>
      <c r="B271" s="936" t="s">
        <v>299</v>
      </c>
      <c r="C271" s="996"/>
      <c r="D271" s="996"/>
      <c r="E271" s="997"/>
      <c r="F271" s="998"/>
      <c r="G271" s="926"/>
    </row>
    <row r="272" spans="1:7">
      <c r="A272" s="918"/>
      <c r="B272" s="1006" t="s">
        <v>87</v>
      </c>
      <c r="C272" s="953"/>
      <c r="D272" s="950" t="s">
        <v>268</v>
      </c>
      <c r="E272" s="1033">
        <v>306</v>
      </c>
      <c r="F272" s="926">
        <f>Bahan!$E$286</f>
        <v>1450</v>
      </c>
      <c r="G272" s="926">
        <f t="shared" ref="G272:G275" si="23">+F272*E272</f>
        <v>443700</v>
      </c>
    </row>
    <row r="273" spans="1:7">
      <c r="A273" s="918"/>
      <c r="B273" s="1035" t="s">
        <v>332</v>
      </c>
      <c r="C273" s="1036"/>
      <c r="D273" s="1037" t="s">
        <v>268</v>
      </c>
      <c r="E273" s="1038">
        <v>832</v>
      </c>
      <c r="F273" s="926">
        <f>Bahan!$E$105</f>
        <v>282.14285714285717</v>
      </c>
      <c r="G273" s="926">
        <f t="shared" si="23"/>
        <v>234742.85714285716</v>
      </c>
    </row>
    <row r="274" spans="1:7">
      <c r="A274" s="1043"/>
      <c r="B274" s="1044" t="s">
        <v>333</v>
      </c>
      <c r="C274" s="1045"/>
      <c r="D274" s="1046" t="s">
        <v>268</v>
      </c>
      <c r="E274" s="1047">
        <v>1009</v>
      </c>
      <c r="F274" s="926">
        <f>Bahan!$E$102</f>
        <v>152.77777777777777</v>
      </c>
      <c r="G274" s="926">
        <f t="shared" si="23"/>
        <v>154152.77777777778</v>
      </c>
    </row>
    <row r="275" spans="1:7">
      <c r="A275" s="1043"/>
      <c r="B275" s="1048" t="s">
        <v>89</v>
      </c>
      <c r="C275" s="1045"/>
      <c r="D275" s="1046" t="s">
        <v>296</v>
      </c>
      <c r="E275" s="1047">
        <v>202</v>
      </c>
      <c r="F275" s="926">
        <f>Bahan!$E$32</f>
        <v>150</v>
      </c>
      <c r="G275" s="926">
        <f t="shared" si="23"/>
        <v>30300</v>
      </c>
    </row>
    <row r="276" spans="1:7">
      <c r="A276" s="918"/>
      <c r="B276" s="930"/>
      <c r="C276" s="940" t="s">
        <v>642</v>
      </c>
      <c r="D276" s="941"/>
      <c r="E276" s="942"/>
      <c r="F276" s="943"/>
      <c r="G276" s="944">
        <f>SUM(G272:G275)</f>
        <v>862895.63492063491</v>
      </c>
    </row>
    <row r="277" spans="1:7">
      <c r="A277" s="918" t="s">
        <v>80</v>
      </c>
      <c r="B277" s="945" t="s">
        <v>250</v>
      </c>
      <c r="C277" s="1022"/>
      <c r="D277" s="1022"/>
      <c r="E277" s="1023"/>
      <c r="F277" s="948"/>
      <c r="G277" s="948"/>
    </row>
    <row r="278" spans="1:7">
      <c r="A278" s="918"/>
      <c r="B278" s="1049" t="s">
        <v>345</v>
      </c>
      <c r="C278" s="1050"/>
      <c r="D278" s="1051" t="s">
        <v>51</v>
      </c>
      <c r="E278" s="1052">
        <v>0.14749999999999999</v>
      </c>
      <c r="F278" s="1053">
        <f>Alat!$E$18</f>
        <v>182459</v>
      </c>
      <c r="G278" s="926">
        <f t="shared" ref="G278" si="24">+F278*E278</f>
        <v>26912.702499999999</v>
      </c>
    </row>
    <row r="279" spans="1:7">
      <c r="A279" s="960"/>
      <c r="B279" s="961"/>
      <c r="C279" s="962" t="s">
        <v>287</v>
      </c>
      <c r="D279" s="941"/>
      <c r="E279" s="942"/>
      <c r="F279" s="943"/>
      <c r="G279" s="944">
        <f>SUM(G278)</f>
        <v>26912.702499999999</v>
      </c>
    </row>
    <row r="280" spans="1:7">
      <c r="A280" s="963" t="s">
        <v>83</v>
      </c>
      <c r="B280" s="964" t="s">
        <v>292</v>
      </c>
      <c r="C280" s="965"/>
      <c r="D280" s="915"/>
      <c r="E280" s="966"/>
      <c r="F280" s="967"/>
      <c r="G280" s="968">
        <f>+G279+G276+G270</f>
        <v>1075558.3374206349</v>
      </c>
    </row>
    <row r="281" spans="1:7">
      <c r="A281" s="963" t="s">
        <v>84</v>
      </c>
      <c r="B281" s="969" t="s">
        <v>293</v>
      </c>
      <c r="C281" s="912"/>
      <c r="D281" s="915"/>
      <c r="E281" s="970">
        <f>$I$2</f>
        <v>0.1</v>
      </c>
      <c r="F281" s="967"/>
      <c r="G281" s="968">
        <f>+G280*E281</f>
        <v>107555.83374206349</v>
      </c>
    </row>
    <row r="282" spans="1:7" ht="15" thickBot="1">
      <c r="A282" s="971" t="s">
        <v>85</v>
      </c>
      <c r="B282" s="972" t="s">
        <v>86</v>
      </c>
      <c r="C282" s="973"/>
      <c r="D282" s="973"/>
      <c r="E282" s="974"/>
      <c r="F282" s="975"/>
      <c r="G282" s="976">
        <f>+G281+G280</f>
        <v>1183114.1711626984</v>
      </c>
    </row>
    <row r="283" spans="1:7" s="19" customFormat="1" ht="15" thickTop="1">
      <c r="A283" s="912"/>
      <c r="B283" s="977"/>
      <c r="C283" s="912"/>
      <c r="D283" s="912"/>
      <c r="E283" s="966"/>
      <c r="F283" s="978"/>
      <c r="G283" s="979"/>
    </row>
    <row r="284" spans="1:7" ht="15" thickBot="1">
      <c r="A284" s="992" t="s">
        <v>342</v>
      </c>
    </row>
    <row r="285" spans="1:7" ht="15" thickTop="1">
      <c r="A285" s="1797" t="s">
        <v>275</v>
      </c>
      <c r="B285" s="1799" t="s">
        <v>295</v>
      </c>
      <c r="C285" s="1799" t="s">
        <v>276</v>
      </c>
      <c r="D285" s="1799" t="s">
        <v>277</v>
      </c>
      <c r="E285" s="1801" t="s">
        <v>278</v>
      </c>
      <c r="F285" s="916" t="s">
        <v>279</v>
      </c>
      <c r="G285" s="916" t="s">
        <v>280</v>
      </c>
    </row>
    <row r="286" spans="1:7">
      <c r="A286" s="1798"/>
      <c r="B286" s="1800"/>
      <c r="C286" s="1800"/>
      <c r="D286" s="1800"/>
      <c r="E286" s="1802"/>
      <c r="F286" s="917" t="s">
        <v>67</v>
      </c>
      <c r="G286" s="917" t="s">
        <v>67</v>
      </c>
    </row>
    <row r="287" spans="1:7">
      <c r="A287" s="918" t="s">
        <v>68</v>
      </c>
      <c r="B287" s="919" t="s">
        <v>298</v>
      </c>
      <c r="C287" s="920"/>
      <c r="D287" s="920"/>
      <c r="E287" s="921"/>
      <c r="F287" s="922"/>
      <c r="G287" s="922"/>
    </row>
    <row r="288" spans="1:7">
      <c r="A288" s="918"/>
      <c r="B288" s="923" t="s">
        <v>69</v>
      </c>
      <c r="C288" s="924" t="s">
        <v>70</v>
      </c>
      <c r="D288" s="924" t="s">
        <v>71</v>
      </c>
      <c r="E288" s="925">
        <v>1</v>
      </c>
      <c r="F288" s="926">
        <f>Upah!$F$26</f>
        <v>130000</v>
      </c>
      <c r="G288" s="926">
        <f>+F288*E288</f>
        <v>130000</v>
      </c>
    </row>
    <row r="289" spans="1:7">
      <c r="A289" s="918"/>
      <c r="B289" s="923" t="s">
        <v>54</v>
      </c>
      <c r="C289" s="993" t="s">
        <v>72</v>
      </c>
      <c r="D289" s="993" t="s">
        <v>71</v>
      </c>
      <c r="E289" s="994">
        <v>0.25</v>
      </c>
      <c r="F289" s="995">
        <f>Upah!$F$17</f>
        <v>140000</v>
      </c>
      <c r="G289" s="926">
        <f t="shared" ref="G289:G290" si="25">+F289*E289</f>
        <v>35000</v>
      </c>
    </row>
    <row r="290" spans="1:7">
      <c r="A290" s="918"/>
      <c r="B290" s="923" t="s">
        <v>73</v>
      </c>
      <c r="C290" s="993" t="s">
        <v>74</v>
      </c>
      <c r="D290" s="993" t="s">
        <v>71</v>
      </c>
      <c r="E290" s="994">
        <v>2.5000000000000001E-2</v>
      </c>
      <c r="F290" s="995">
        <f>Upah!$F$10</f>
        <v>150000</v>
      </c>
      <c r="G290" s="926">
        <f t="shared" si="25"/>
        <v>3750</v>
      </c>
    </row>
    <row r="291" spans="1:7">
      <c r="A291" s="918"/>
      <c r="B291" s="923" t="s">
        <v>50</v>
      </c>
      <c r="C291" s="927" t="s">
        <v>75</v>
      </c>
      <c r="D291" s="927" t="s">
        <v>71</v>
      </c>
      <c r="E291" s="928">
        <v>0.1</v>
      </c>
      <c r="F291" s="929">
        <f>Upah!$F$8</f>
        <v>170000</v>
      </c>
      <c r="G291" s="929">
        <f>+F291*E291</f>
        <v>17000</v>
      </c>
    </row>
    <row r="292" spans="1:7">
      <c r="A292" s="918"/>
      <c r="B292" s="930"/>
      <c r="C292" s="931" t="s">
        <v>632</v>
      </c>
      <c r="D292" s="932"/>
      <c r="E292" s="933"/>
      <c r="F292" s="934"/>
      <c r="G292" s="935">
        <f>SUM(G288:G291)</f>
        <v>185750</v>
      </c>
    </row>
    <row r="293" spans="1:7">
      <c r="A293" s="918" t="s">
        <v>77</v>
      </c>
      <c r="B293" s="936" t="s">
        <v>299</v>
      </c>
      <c r="C293" s="996"/>
      <c r="D293" s="996"/>
      <c r="E293" s="997"/>
      <c r="F293" s="998"/>
      <c r="G293" s="926"/>
    </row>
    <row r="294" spans="1:7">
      <c r="A294" s="918"/>
      <c r="B294" s="1006" t="s">
        <v>87</v>
      </c>
      <c r="C294" s="953"/>
      <c r="D294" s="950" t="s">
        <v>268</v>
      </c>
      <c r="E294" s="1033">
        <v>348</v>
      </c>
      <c r="F294" s="926">
        <f>Bahan!$E$286</f>
        <v>1450</v>
      </c>
      <c r="G294" s="926">
        <f t="shared" ref="G294:G297" si="26">+F294*E294</f>
        <v>504600</v>
      </c>
    </row>
    <row r="295" spans="1:7">
      <c r="A295" s="918"/>
      <c r="B295" s="1035" t="s">
        <v>332</v>
      </c>
      <c r="C295" s="1036"/>
      <c r="D295" s="1037" t="s">
        <v>268</v>
      </c>
      <c r="E295" s="1038">
        <v>790</v>
      </c>
      <c r="F295" s="926">
        <f>Bahan!$E$105</f>
        <v>282.14285714285717</v>
      </c>
      <c r="G295" s="926">
        <f t="shared" si="26"/>
        <v>222892.85714285716</v>
      </c>
    </row>
    <row r="296" spans="1:7">
      <c r="A296" s="1043"/>
      <c r="B296" s="1044" t="s">
        <v>333</v>
      </c>
      <c r="C296" s="1045"/>
      <c r="D296" s="1046" t="s">
        <v>268</v>
      </c>
      <c r="E296" s="1047">
        <v>1009</v>
      </c>
      <c r="F296" s="926">
        <f>Bahan!$E$102</f>
        <v>152.77777777777777</v>
      </c>
      <c r="G296" s="926">
        <f t="shared" si="26"/>
        <v>154152.77777777778</v>
      </c>
    </row>
    <row r="297" spans="1:7">
      <c r="A297" s="1043"/>
      <c r="B297" s="1048" t="s">
        <v>89</v>
      </c>
      <c r="C297" s="1045"/>
      <c r="D297" s="1046" t="s">
        <v>296</v>
      </c>
      <c r="E297" s="1047">
        <v>202</v>
      </c>
      <c r="F297" s="926">
        <f>Bahan!$E$32</f>
        <v>150</v>
      </c>
      <c r="G297" s="926">
        <f t="shared" si="26"/>
        <v>30300</v>
      </c>
    </row>
    <row r="298" spans="1:7">
      <c r="A298" s="918"/>
      <c r="B298" s="930"/>
      <c r="C298" s="940" t="s">
        <v>642</v>
      </c>
      <c r="D298" s="941"/>
      <c r="E298" s="942"/>
      <c r="F298" s="943"/>
      <c r="G298" s="944">
        <f>SUM(G294:G297)</f>
        <v>911945.63492063491</v>
      </c>
    </row>
    <row r="299" spans="1:7">
      <c r="A299" s="918" t="s">
        <v>80</v>
      </c>
      <c r="B299" s="945" t="s">
        <v>250</v>
      </c>
      <c r="C299" s="1022"/>
      <c r="D299" s="1022"/>
      <c r="E299" s="1023"/>
      <c r="F299" s="948"/>
      <c r="G299" s="948"/>
    </row>
    <row r="300" spans="1:7">
      <c r="A300" s="918"/>
      <c r="B300" s="1049" t="s">
        <v>345</v>
      </c>
      <c r="C300" s="1050"/>
      <c r="D300" s="1051" t="s">
        <v>51</v>
      </c>
      <c r="E300" s="1052">
        <v>0.14749999999999999</v>
      </c>
      <c r="F300" s="1053">
        <f>Alat!$E$18</f>
        <v>182459</v>
      </c>
      <c r="G300" s="926">
        <f t="shared" ref="G300" si="27">+F300*E300</f>
        <v>26912.702499999999</v>
      </c>
    </row>
    <row r="301" spans="1:7">
      <c r="A301" s="960"/>
      <c r="B301" s="961"/>
      <c r="C301" s="962" t="s">
        <v>287</v>
      </c>
      <c r="D301" s="941"/>
      <c r="E301" s="942"/>
      <c r="F301" s="943"/>
      <c r="G301" s="944">
        <f>SUM(G300)</f>
        <v>26912.702499999999</v>
      </c>
    </row>
    <row r="302" spans="1:7">
      <c r="A302" s="963" t="s">
        <v>83</v>
      </c>
      <c r="B302" s="964" t="s">
        <v>292</v>
      </c>
      <c r="C302" s="965"/>
      <c r="D302" s="915"/>
      <c r="E302" s="966"/>
      <c r="F302" s="967"/>
      <c r="G302" s="968">
        <f>+G301+G298+G292</f>
        <v>1124608.3374206349</v>
      </c>
    </row>
    <row r="303" spans="1:7">
      <c r="A303" s="963" t="s">
        <v>84</v>
      </c>
      <c r="B303" s="969" t="s">
        <v>293</v>
      </c>
      <c r="C303" s="912"/>
      <c r="D303" s="915"/>
      <c r="E303" s="970">
        <f>$I$2</f>
        <v>0.1</v>
      </c>
      <c r="F303" s="967"/>
      <c r="G303" s="968">
        <f>+G302*E303</f>
        <v>112460.83374206349</v>
      </c>
    </row>
    <row r="304" spans="1:7" ht="15" thickBot="1">
      <c r="A304" s="971" t="s">
        <v>85</v>
      </c>
      <c r="B304" s="972" t="s">
        <v>86</v>
      </c>
      <c r="C304" s="973"/>
      <c r="D304" s="973"/>
      <c r="E304" s="974"/>
      <c r="F304" s="975"/>
      <c r="G304" s="976">
        <f>+G303+G302</f>
        <v>1237069.1711626984</v>
      </c>
    </row>
    <row r="305" spans="1:7" ht="15" thickTop="1"/>
    <row r="306" spans="1:7" s="111" customFormat="1">
      <c r="A306" s="10"/>
      <c r="B306" s="10"/>
      <c r="C306" s="10"/>
      <c r="D306" s="10"/>
      <c r="E306" s="1004"/>
      <c r="F306" s="10"/>
      <c r="G306" s="46"/>
    </row>
    <row r="307" spans="1:7" s="111" customFormat="1" ht="14.25" customHeight="1">
      <c r="A307" s="10" t="s">
        <v>891</v>
      </c>
      <c r="B307" s="10"/>
      <c r="C307" s="10"/>
      <c r="D307" s="10"/>
      <c r="E307" s="10"/>
      <c r="F307" s="10"/>
      <c r="G307" s="10"/>
    </row>
    <row r="308" spans="1:7" s="111" customFormat="1" ht="14.25" customHeight="1">
      <c r="A308" s="1054" t="s">
        <v>275</v>
      </c>
      <c r="B308" s="1055" t="s">
        <v>882</v>
      </c>
      <c r="C308" s="1055" t="s">
        <v>276</v>
      </c>
      <c r="D308" s="1055" t="s">
        <v>277</v>
      </c>
      <c r="E308" s="1055" t="s">
        <v>278</v>
      </c>
      <c r="F308" s="1055" t="s">
        <v>883</v>
      </c>
      <c r="G308" s="1056" t="s">
        <v>884</v>
      </c>
    </row>
    <row r="309" spans="1:7" s="111" customFormat="1" ht="14.25" customHeight="1">
      <c r="A309" s="1057" t="s">
        <v>262</v>
      </c>
      <c r="B309" s="1058" t="s">
        <v>718</v>
      </c>
      <c r="C309" s="1059"/>
      <c r="D309" s="1059"/>
      <c r="E309" s="1059"/>
      <c r="F309" s="1059"/>
      <c r="G309" s="1060"/>
    </row>
    <row r="310" spans="1:7" s="111" customFormat="1" ht="14.25" customHeight="1">
      <c r="A310" s="1061"/>
      <c r="B310" s="1062" t="s">
        <v>69</v>
      </c>
      <c r="C310" s="1063" t="s">
        <v>70</v>
      </c>
      <c r="D310" s="1063" t="s">
        <v>71</v>
      </c>
      <c r="E310" s="1064">
        <v>0.18</v>
      </c>
      <c r="F310" s="1062">
        <f>F288</f>
        <v>130000</v>
      </c>
      <c r="G310" s="1065">
        <f t="shared" ref="G310:G315" si="28">F310*E310</f>
        <v>23400</v>
      </c>
    </row>
    <row r="311" spans="1:7" s="111" customFormat="1" ht="14.25" customHeight="1">
      <c r="A311" s="1061"/>
      <c r="B311" s="1062" t="s">
        <v>54</v>
      </c>
      <c r="C311" s="1063" t="s">
        <v>72</v>
      </c>
      <c r="D311" s="1063" t="s">
        <v>71</v>
      </c>
      <c r="E311" s="1064">
        <v>0.02</v>
      </c>
      <c r="F311" s="1062">
        <f>F289</f>
        <v>140000</v>
      </c>
      <c r="G311" s="1065">
        <f t="shared" si="28"/>
        <v>2800</v>
      </c>
    </row>
    <row r="312" spans="1:7" s="111" customFormat="1" ht="14.25" customHeight="1">
      <c r="A312" s="1061"/>
      <c r="B312" s="1062" t="s">
        <v>57</v>
      </c>
      <c r="C312" s="1063" t="s">
        <v>72</v>
      </c>
      <c r="D312" s="1063" t="s">
        <v>71</v>
      </c>
      <c r="E312" s="1064">
        <v>0.02</v>
      </c>
      <c r="F312" s="1062">
        <f>F311</f>
        <v>140000</v>
      </c>
      <c r="G312" s="1065">
        <f t="shared" si="28"/>
        <v>2800</v>
      </c>
    </row>
    <row r="313" spans="1:7" s="111" customFormat="1" ht="14.25" customHeight="1">
      <c r="A313" s="1061"/>
      <c r="B313" s="1062" t="s">
        <v>56</v>
      </c>
      <c r="C313" s="1063" t="s">
        <v>72</v>
      </c>
      <c r="D313" s="1063" t="s">
        <v>71</v>
      </c>
      <c r="E313" s="1064">
        <v>0.02</v>
      </c>
      <c r="F313" s="1062">
        <f>F312</f>
        <v>140000</v>
      </c>
      <c r="G313" s="1065">
        <f t="shared" si="28"/>
        <v>2800</v>
      </c>
    </row>
    <row r="314" spans="1:7" s="111" customFormat="1" ht="14.25" customHeight="1">
      <c r="A314" s="1061"/>
      <c r="B314" s="1062" t="s">
        <v>73</v>
      </c>
      <c r="C314" s="1063" t="s">
        <v>74</v>
      </c>
      <c r="D314" s="1063" t="s">
        <v>71</v>
      </c>
      <c r="E314" s="1064">
        <v>6.0000000000000001E-3</v>
      </c>
      <c r="F314" s="1062">
        <f>F290</f>
        <v>150000</v>
      </c>
      <c r="G314" s="1065">
        <f t="shared" si="28"/>
        <v>900</v>
      </c>
    </row>
    <row r="315" spans="1:7" s="111" customFormat="1" ht="14.25" customHeight="1">
      <c r="A315" s="1066"/>
      <c r="B315" s="1067" t="s">
        <v>50</v>
      </c>
      <c r="C315" s="1068" t="s">
        <v>75</v>
      </c>
      <c r="D315" s="1068" t="s">
        <v>71</v>
      </c>
      <c r="E315" s="1069">
        <v>2E-3</v>
      </c>
      <c r="F315" s="1062">
        <f>F291</f>
        <v>170000</v>
      </c>
      <c r="G315" s="1070">
        <f t="shared" si="28"/>
        <v>340</v>
      </c>
    </row>
    <row r="316" spans="1:7" s="111" customFormat="1" ht="14.25" customHeight="1">
      <c r="A316" s="1071"/>
      <c r="B316" s="1072"/>
      <c r="C316" s="1072"/>
      <c r="D316" s="1072"/>
      <c r="E316" s="1816" t="s">
        <v>76</v>
      </c>
      <c r="F316" s="1817"/>
      <c r="G316" s="1073">
        <f>SUM(G310:G315)</f>
        <v>33040</v>
      </c>
    </row>
    <row r="317" spans="1:7" s="111" customFormat="1" ht="14.25" customHeight="1">
      <c r="A317" s="1057" t="s">
        <v>263</v>
      </c>
      <c r="B317" s="1058" t="s">
        <v>78</v>
      </c>
      <c r="C317" s="1059"/>
      <c r="D317" s="1059"/>
      <c r="E317" s="1074"/>
      <c r="F317" s="1075"/>
      <c r="G317" s="1060"/>
    </row>
    <row r="318" spans="1:7" s="111" customFormat="1" ht="14.25" customHeight="1">
      <c r="A318" s="1076"/>
      <c r="B318" s="1077" t="s">
        <v>885</v>
      </c>
      <c r="C318" s="1062"/>
      <c r="D318" s="1063" t="s">
        <v>1053</v>
      </c>
      <c r="E318" s="1078">
        <f>0.002</f>
        <v>2E-3</v>
      </c>
      <c r="F318" s="1079">
        <f>Bahan!E196</f>
        <v>2200000</v>
      </c>
      <c r="G318" s="1065">
        <f>F318*E318</f>
        <v>4400</v>
      </c>
    </row>
    <row r="319" spans="1:7" s="111" customFormat="1" ht="14.25" customHeight="1">
      <c r="A319" s="1076"/>
      <c r="B319" s="1077" t="s">
        <v>495</v>
      </c>
      <c r="C319" s="1062"/>
      <c r="D319" s="1063" t="s">
        <v>268</v>
      </c>
      <c r="E319" s="1078">
        <v>0.01</v>
      </c>
      <c r="F319" s="1079">
        <f>Bahan!E229</f>
        <v>20000</v>
      </c>
      <c r="G319" s="1065">
        <f t="shared" ref="G319:G324" si="29">F319*E319</f>
        <v>200</v>
      </c>
    </row>
    <row r="320" spans="1:7" s="111" customFormat="1" ht="14.25" customHeight="1">
      <c r="A320" s="1076"/>
      <c r="B320" s="1077" t="s">
        <v>886</v>
      </c>
      <c r="C320" s="1062"/>
      <c r="D320" s="1063" t="s">
        <v>268</v>
      </c>
      <c r="E320" s="1078">
        <v>3</v>
      </c>
      <c r="F320" s="1079">
        <f>Bahan!E117</f>
        <v>14000</v>
      </c>
      <c r="G320" s="1065">
        <f t="shared" si="29"/>
        <v>42000</v>
      </c>
    </row>
    <row r="321" spans="1:7" s="111" customFormat="1" ht="14.25" customHeight="1">
      <c r="A321" s="1076"/>
      <c r="B321" s="1077" t="s">
        <v>887</v>
      </c>
      <c r="C321" s="1062"/>
      <c r="D321" s="1063" t="s">
        <v>268</v>
      </c>
      <c r="E321" s="1078">
        <v>0.45</v>
      </c>
      <c r="F321" s="1079">
        <f>Bahan!E123</f>
        <v>20000</v>
      </c>
      <c r="G321" s="1065">
        <f t="shared" si="29"/>
        <v>9000</v>
      </c>
    </row>
    <row r="322" spans="1:7" s="111" customFormat="1" ht="14.25" customHeight="1">
      <c r="A322" s="1076"/>
      <c r="B322" s="1077" t="s">
        <v>888</v>
      </c>
      <c r="C322" s="1062"/>
      <c r="D322" s="1063" t="s">
        <v>268</v>
      </c>
      <c r="E322" s="1078">
        <v>4</v>
      </c>
      <c r="F322" s="1079">
        <f>F294</f>
        <v>1450</v>
      </c>
      <c r="G322" s="1065">
        <f t="shared" si="29"/>
        <v>5800</v>
      </c>
    </row>
    <row r="323" spans="1:7" s="111" customFormat="1" ht="14.25" customHeight="1">
      <c r="A323" s="1076"/>
      <c r="B323" s="1077" t="s">
        <v>889</v>
      </c>
      <c r="C323" s="1062"/>
      <c r="D323" s="1080" t="s">
        <v>1053</v>
      </c>
      <c r="E323" s="1078">
        <v>6.0000000000000001E-3</v>
      </c>
      <c r="F323" s="1079">
        <f>Bahan!E104</f>
        <v>395000</v>
      </c>
      <c r="G323" s="1065">
        <f t="shared" si="29"/>
        <v>2370</v>
      </c>
    </row>
    <row r="324" spans="1:7" s="111" customFormat="1" ht="14.25" customHeight="1">
      <c r="A324" s="1081"/>
      <c r="B324" s="1082" t="s">
        <v>890</v>
      </c>
      <c r="C324" s="1067"/>
      <c r="D324" s="1083" t="s">
        <v>1053</v>
      </c>
      <c r="E324" s="1084">
        <v>8.9999999999999993E-3</v>
      </c>
      <c r="F324" s="1085">
        <f>Bahan!E101</f>
        <v>275000</v>
      </c>
      <c r="G324" s="1070">
        <f t="shared" si="29"/>
        <v>2475</v>
      </c>
    </row>
    <row r="325" spans="1:7" s="111" customFormat="1" ht="14.25" customHeight="1">
      <c r="A325" s="1071"/>
      <c r="B325" s="1072"/>
      <c r="C325" s="1072"/>
      <c r="D325" s="1072"/>
      <c r="E325" s="1816" t="s">
        <v>79</v>
      </c>
      <c r="F325" s="1817"/>
      <c r="G325" s="1073">
        <f>SUM(G318:G324)</f>
        <v>66245</v>
      </c>
    </row>
    <row r="326" spans="1:7" s="111" customFormat="1" ht="14.25" customHeight="1">
      <c r="A326" s="1086" t="s">
        <v>264</v>
      </c>
      <c r="B326" s="1087" t="s">
        <v>81</v>
      </c>
      <c r="C326" s="1072"/>
      <c r="D326" s="1072"/>
      <c r="E326" s="1072"/>
      <c r="F326" s="1072"/>
      <c r="G326" s="1088"/>
    </row>
    <row r="327" spans="1:7" s="111" customFormat="1" ht="14.25" customHeight="1">
      <c r="A327" s="1071"/>
      <c r="B327" s="1072"/>
      <c r="C327" s="1072"/>
      <c r="D327" s="1072"/>
      <c r="E327" s="1816" t="s">
        <v>82</v>
      </c>
      <c r="F327" s="1817"/>
      <c r="G327" s="1088">
        <v>0</v>
      </c>
    </row>
    <row r="328" spans="1:7" s="111" customFormat="1" ht="14.25" customHeight="1">
      <c r="A328" s="1089" t="s">
        <v>281</v>
      </c>
      <c r="B328" s="1855" t="s">
        <v>282</v>
      </c>
      <c r="C328" s="1855"/>
      <c r="D328" s="1855"/>
      <c r="E328" s="1855"/>
      <c r="F328" s="1855"/>
      <c r="G328" s="1090">
        <f>G327+G325+G316</f>
        <v>99285</v>
      </c>
    </row>
    <row r="329" spans="1:7" s="111" customFormat="1" ht="14.25" customHeight="1">
      <c r="A329" s="1091" t="s">
        <v>90</v>
      </c>
      <c r="B329" s="1856" t="s">
        <v>619</v>
      </c>
      <c r="C329" s="1857"/>
      <c r="D329" s="1857"/>
      <c r="E329" s="970">
        <f>$I$2</f>
        <v>0.1</v>
      </c>
      <c r="F329" s="1092"/>
      <c r="G329" s="1093">
        <f>G328*E329</f>
        <v>9928.5</v>
      </c>
    </row>
    <row r="330" spans="1:7" s="111" customFormat="1" ht="14.25" customHeight="1">
      <c r="A330" s="1094" t="s">
        <v>94</v>
      </c>
      <c r="B330" s="1861" t="s">
        <v>86</v>
      </c>
      <c r="C330" s="1861"/>
      <c r="D330" s="1861"/>
      <c r="E330" s="1861"/>
      <c r="F330" s="1861"/>
      <c r="G330" s="1095">
        <f>G329+G328</f>
        <v>109213.5</v>
      </c>
    </row>
    <row r="331" spans="1:7" s="111" customFormat="1" ht="14.25" customHeight="1">
      <c r="A331" s="10"/>
      <c r="B331" s="10"/>
      <c r="C331" s="10"/>
      <c r="D331" s="10"/>
      <c r="E331" s="10"/>
      <c r="F331" s="10"/>
      <c r="G331" s="10"/>
    </row>
    <row r="332" spans="1:7" s="111" customFormat="1" ht="14.25" customHeight="1">
      <c r="A332" s="10" t="s">
        <v>892</v>
      </c>
      <c r="B332" s="10"/>
      <c r="C332" s="10"/>
      <c r="D332" s="10"/>
      <c r="E332" s="10"/>
      <c r="F332" s="10"/>
      <c r="G332" s="10"/>
    </row>
    <row r="333" spans="1:7" s="111" customFormat="1" ht="14.25" customHeight="1">
      <c r="A333" s="1054" t="s">
        <v>275</v>
      </c>
      <c r="B333" s="1055" t="s">
        <v>882</v>
      </c>
      <c r="C333" s="1055" t="s">
        <v>276</v>
      </c>
      <c r="D333" s="1055" t="s">
        <v>277</v>
      </c>
      <c r="E333" s="1055" t="s">
        <v>278</v>
      </c>
      <c r="F333" s="1055" t="s">
        <v>883</v>
      </c>
      <c r="G333" s="1056" t="s">
        <v>884</v>
      </c>
    </row>
    <row r="334" spans="1:7" s="111" customFormat="1" ht="14.25" customHeight="1">
      <c r="A334" s="1057" t="s">
        <v>262</v>
      </c>
      <c r="B334" s="1058" t="s">
        <v>718</v>
      </c>
      <c r="C334" s="1059"/>
      <c r="D334" s="1059"/>
      <c r="E334" s="1059"/>
      <c r="F334" s="1059"/>
      <c r="G334" s="1060"/>
    </row>
    <row r="335" spans="1:7" s="111" customFormat="1" ht="14.25" customHeight="1">
      <c r="A335" s="1061"/>
      <c r="B335" s="1062" t="s">
        <v>69</v>
      </c>
      <c r="C335" s="1063" t="s">
        <v>70</v>
      </c>
      <c r="D335" s="1063" t="s">
        <v>71</v>
      </c>
      <c r="E335" s="1064">
        <v>0.29699999999999999</v>
      </c>
      <c r="F335" s="1062">
        <f>F310</f>
        <v>130000</v>
      </c>
      <c r="G335" s="1065">
        <f t="shared" ref="G335:G340" si="30">F335*E335</f>
        <v>38610</v>
      </c>
    </row>
    <row r="336" spans="1:7" s="111" customFormat="1" ht="14.25" customHeight="1">
      <c r="A336" s="1061"/>
      <c r="B336" s="1062" t="s">
        <v>54</v>
      </c>
      <c r="C336" s="1063" t="s">
        <v>72</v>
      </c>
      <c r="D336" s="1063" t="s">
        <v>71</v>
      </c>
      <c r="E336" s="1064">
        <v>3.3000000000000002E-2</v>
      </c>
      <c r="F336" s="1062">
        <f t="shared" ref="F336:F340" si="31">F311</f>
        <v>140000</v>
      </c>
      <c r="G336" s="1065">
        <f t="shared" si="30"/>
        <v>4620</v>
      </c>
    </row>
    <row r="337" spans="1:7" s="111" customFormat="1" ht="14.25" customHeight="1">
      <c r="A337" s="1061"/>
      <c r="B337" s="1062" t="s">
        <v>57</v>
      </c>
      <c r="C337" s="1063" t="s">
        <v>72</v>
      </c>
      <c r="D337" s="1063" t="s">
        <v>71</v>
      </c>
      <c r="E337" s="1064">
        <v>3.3000000000000002E-2</v>
      </c>
      <c r="F337" s="1062">
        <f t="shared" si="31"/>
        <v>140000</v>
      </c>
      <c r="G337" s="1065">
        <f t="shared" si="30"/>
        <v>4620</v>
      </c>
    </row>
    <row r="338" spans="1:7" s="111" customFormat="1" ht="14.25" customHeight="1">
      <c r="A338" s="1061"/>
      <c r="B338" s="1062" t="s">
        <v>56</v>
      </c>
      <c r="C338" s="1063" t="s">
        <v>72</v>
      </c>
      <c r="D338" s="1063" t="s">
        <v>71</v>
      </c>
      <c r="E338" s="1064">
        <v>3.3000000000000002E-2</v>
      </c>
      <c r="F338" s="1062">
        <f t="shared" si="31"/>
        <v>140000</v>
      </c>
      <c r="G338" s="1065">
        <f t="shared" si="30"/>
        <v>4620</v>
      </c>
    </row>
    <row r="339" spans="1:7" s="111" customFormat="1" ht="14.25" customHeight="1">
      <c r="A339" s="1061"/>
      <c r="B339" s="1062" t="s">
        <v>73</v>
      </c>
      <c r="C339" s="1063" t="s">
        <v>74</v>
      </c>
      <c r="D339" s="1063" t="s">
        <v>71</v>
      </c>
      <c r="E339" s="1064">
        <v>0.01</v>
      </c>
      <c r="F339" s="1062">
        <f t="shared" si="31"/>
        <v>150000</v>
      </c>
      <c r="G339" s="1065">
        <f t="shared" si="30"/>
        <v>1500</v>
      </c>
    </row>
    <row r="340" spans="1:7" s="111" customFormat="1" ht="14.25" customHeight="1">
      <c r="A340" s="1066"/>
      <c r="B340" s="1067" t="s">
        <v>50</v>
      </c>
      <c r="C340" s="1068" t="s">
        <v>75</v>
      </c>
      <c r="D340" s="1068" t="s">
        <v>71</v>
      </c>
      <c r="E340" s="1069">
        <v>1.4999999999999999E-2</v>
      </c>
      <c r="F340" s="1062">
        <f t="shared" si="31"/>
        <v>170000</v>
      </c>
      <c r="G340" s="1070">
        <f t="shared" si="30"/>
        <v>2550</v>
      </c>
    </row>
    <row r="341" spans="1:7" s="111" customFormat="1" ht="14.25" customHeight="1">
      <c r="A341" s="1071"/>
      <c r="B341" s="1072"/>
      <c r="C341" s="1072"/>
      <c r="D341" s="1072"/>
      <c r="E341" s="1816" t="s">
        <v>76</v>
      </c>
      <c r="F341" s="1817"/>
      <c r="G341" s="1073">
        <f>SUM(G335:G340)</f>
        <v>56520</v>
      </c>
    </row>
    <row r="342" spans="1:7" s="111" customFormat="1" ht="14.25" customHeight="1">
      <c r="A342" s="1057" t="s">
        <v>263</v>
      </c>
      <c r="B342" s="1058" t="s">
        <v>78</v>
      </c>
      <c r="C342" s="1059"/>
      <c r="D342" s="1059"/>
      <c r="E342" s="1074"/>
      <c r="F342" s="1075"/>
      <c r="G342" s="1060"/>
    </row>
    <row r="343" spans="1:7" s="111" customFormat="1" ht="14.25" customHeight="1">
      <c r="A343" s="1076"/>
      <c r="B343" s="1077" t="s">
        <v>885</v>
      </c>
      <c r="C343" s="1062"/>
      <c r="D343" s="1063" t="s">
        <v>1053</v>
      </c>
      <c r="E343" s="1096">
        <f>0.003</f>
        <v>3.0000000000000001E-3</v>
      </c>
      <c r="F343" s="1079">
        <f>F318</f>
        <v>2200000</v>
      </c>
      <c r="G343" s="1065">
        <f>F343*E343</f>
        <v>6600</v>
      </c>
    </row>
    <row r="344" spans="1:7" s="111" customFormat="1" ht="14.25" customHeight="1">
      <c r="A344" s="1076"/>
      <c r="B344" s="1077" t="s">
        <v>495</v>
      </c>
      <c r="C344" s="1062"/>
      <c r="D344" s="1063" t="s">
        <v>268</v>
      </c>
      <c r="E344" s="1078">
        <v>0.02</v>
      </c>
      <c r="F344" s="1079">
        <f>F319</f>
        <v>20000</v>
      </c>
      <c r="G344" s="1065">
        <f t="shared" ref="G344:G350" si="32">F344*E344</f>
        <v>400</v>
      </c>
    </row>
    <row r="345" spans="1:7" s="111" customFormat="1" ht="14.25" customHeight="1">
      <c r="A345" s="1076"/>
      <c r="B345" s="1077" t="s">
        <v>321</v>
      </c>
      <c r="C345" s="1062"/>
      <c r="D345" s="1063" t="s">
        <v>296</v>
      </c>
      <c r="E345" s="1078">
        <v>0.2</v>
      </c>
      <c r="F345" s="1079">
        <f>Bahan!E171</f>
        <v>6800</v>
      </c>
      <c r="G345" s="1065">
        <f t="shared" si="32"/>
        <v>1360</v>
      </c>
    </row>
    <row r="346" spans="1:7" s="111" customFormat="1" ht="14.25" customHeight="1">
      <c r="A346" s="1076"/>
      <c r="B346" s="1077" t="s">
        <v>886</v>
      </c>
      <c r="C346" s="1062"/>
      <c r="D346" s="1063" t="s">
        <v>268</v>
      </c>
      <c r="E346" s="1078">
        <v>3.6</v>
      </c>
      <c r="F346" s="1079">
        <f>F320</f>
        <v>14000</v>
      </c>
      <c r="G346" s="1065">
        <f t="shared" si="32"/>
        <v>50400</v>
      </c>
    </row>
    <row r="347" spans="1:7" s="111" customFormat="1" ht="14.25" customHeight="1">
      <c r="A347" s="1076"/>
      <c r="B347" s="1077" t="s">
        <v>887</v>
      </c>
      <c r="C347" s="1062"/>
      <c r="D347" s="1063" t="s">
        <v>268</v>
      </c>
      <c r="E347" s="1078">
        <v>0.05</v>
      </c>
      <c r="F347" s="1079">
        <f>F321</f>
        <v>20000</v>
      </c>
      <c r="G347" s="1065">
        <f t="shared" si="32"/>
        <v>1000</v>
      </c>
    </row>
    <row r="348" spans="1:7" s="111" customFormat="1" ht="14.25" customHeight="1">
      <c r="A348" s="1076"/>
      <c r="B348" s="1077" t="s">
        <v>888</v>
      </c>
      <c r="C348" s="1062"/>
      <c r="D348" s="1063" t="s">
        <v>268</v>
      </c>
      <c r="E348" s="1078">
        <v>5.5</v>
      </c>
      <c r="F348" s="1079">
        <f>F322</f>
        <v>1450</v>
      </c>
      <c r="G348" s="1065">
        <f t="shared" si="32"/>
        <v>7975</v>
      </c>
    </row>
    <row r="349" spans="1:7" s="111" customFormat="1" ht="14.25" customHeight="1">
      <c r="A349" s="1076"/>
      <c r="B349" s="1077" t="s">
        <v>889</v>
      </c>
      <c r="C349" s="1062"/>
      <c r="D349" s="1080" t="s">
        <v>1053</v>
      </c>
      <c r="E349" s="1078">
        <v>8.9999999999999993E-3</v>
      </c>
      <c r="F349" s="1079">
        <f>F323</f>
        <v>395000</v>
      </c>
      <c r="G349" s="1065">
        <f t="shared" si="32"/>
        <v>3554.9999999999995</v>
      </c>
    </row>
    <row r="350" spans="1:7" s="111" customFormat="1" ht="14.25" customHeight="1">
      <c r="A350" s="1081"/>
      <c r="B350" s="1082" t="s">
        <v>890</v>
      </c>
      <c r="C350" s="1067"/>
      <c r="D350" s="1083" t="s">
        <v>1053</v>
      </c>
      <c r="E350" s="1084">
        <v>1.4999999999999999E-2</v>
      </c>
      <c r="F350" s="1085">
        <f>F324</f>
        <v>275000</v>
      </c>
      <c r="G350" s="1070">
        <f t="shared" si="32"/>
        <v>4125</v>
      </c>
    </row>
    <row r="351" spans="1:7" s="111" customFormat="1" ht="14.25" customHeight="1">
      <c r="A351" s="1071"/>
      <c r="B351" s="1072"/>
      <c r="C351" s="1072"/>
      <c r="D351" s="1072"/>
      <c r="E351" s="1816" t="s">
        <v>79</v>
      </c>
      <c r="F351" s="1817"/>
      <c r="G351" s="1073">
        <f>SUM(G343:G350)</f>
        <v>75415</v>
      </c>
    </row>
    <row r="352" spans="1:7" s="111" customFormat="1" ht="14.25" customHeight="1">
      <c r="A352" s="1086" t="s">
        <v>264</v>
      </c>
      <c r="B352" s="1087" t="s">
        <v>81</v>
      </c>
      <c r="C352" s="1072"/>
      <c r="D352" s="1072"/>
      <c r="E352" s="1072"/>
      <c r="F352" s="1072"/>
      <c r="G352" s="1088"/>
    </row>
    <row r="353" spans="1:7" s="111" customFormat="1" ht="14.25" customHeight="1">
      <c r="A353" s="1071"/>
      <c r="B353" s="1072"/>
      <c r="C353" s="1072"/>
      <c r="D353" s="1072"/>
      <c r="E353" s="1816" t="s">
        <v>82</v>
      </c>
      <c r="F353" s="1817"/>
      <c r="G353" s="1088">
        <v>0</v>
      </c>
    </row>
    <row r="354" spans="1:7" s="111" customFormat="1" ht="14.25" customHeight="1">
      <c r="A354" s="1089" t="s">
        <v>281</v>
      </c>
      <c r="B354" s="1851" t="s">
        <v>282</v>
      </c>
      <c r="C354" s="1852"/>
      <c r="D354" s="1852"/>
      <c r="E354" s="1852"/>
      <c r="F354" s="1853"/>
      <c r="G354" s="1097">
        <f>G353+G351+G341</f>
        <v>131935</v>
      </c>
    </row>
    <row r="355" spans="1:7" s="111" customFormat="1" ht="14.25" customHeight="1">
      <c r="A355" s="1091" t="s">
        <v>90</v>
      </c>
      <c r="B355" s="1856" t="s">
        <v>619</v>
      </c>
      <c r="C355" s="1857"/>
      <c r="D355" s="1857"/>
      <c r="E355" s="970">
        <f>$I$2</f>
        <v>0.1</v>
      </c>
      <c r="F355" s="1098"/>
      <c r="G355" s="1099">
        <f>G354*E355</f>
        <v>13193.5</v>
      </c>
    </row>
    <row r="356" spans="1:7" s="111" customFormat="1" ht="14.25" customHeight="1">
      <c r="A356" s="1094" t="s">
        <v>94</v>
      </c>
      <c r="B356" s="1858" t="s">
        <v>86</v>
      </c>
      <c r="C356" s="1859"/>
      <c r="D356" s="1859"/>
      <c r="E356" s="1859"/>
      <c r="F356" s="1860"/>
      <c r="G356" s="1100">
        <f>G355+G354</f>
        <v>145128.5</v>
      </c>
    </row>
    <row r="357" spans="1:7" s="111" customFormat="1">
      <c r="A357" s="10"/>
      <c r="B357" s="10"/>
      <c r="C357" s="10"/>
      <c r="D357" s="10"/>
      <c r="E357" s="10"/>
      <c r="F357" s="10"/>
      <c r="G357" s="10"/>
    </row>
    <row r="358" spans="1:7">
      <c r="A358" s="992" t="s">
        <v>346</v>
      </c>
    </row>
    <row r="359" spans="1:7">
      <c r="A359" s="992" t="s">
        <v>347</v>
      </c>
    </row>
    <row r="360" spans="1:7" s="413" customFormat="1" ht="15" thickBot="1">
      <c r="A360" s="10" t="s">
        <v>900</v>
      </c>
      <c r="B360" s="10"/>
      <c r="C360" s="10"/>
      <c r="D360" s="10"/>
      <c r="E360" s="1004"/>
      <c r="F360" s="10"/>
      <c r="G360" s="46"/>
    </row>
    <row r="361" spans="1:7" s="413" customFormat="1" ht="15" thickTop="1">
      <c r="A361" s="1797" t="s">
        <v>275</v>
      </c>
      <c r="B361" s="1799" t="s">
        <v>295</v>
      </c>
      <c r="C361" s="1799" t="s">
        <v>276</v>
      </c>
      <c r="D361" s="1799" t="s">
        <v>277</v>
      </c>
      <c r="E361" s="1801" t="s">
        <v>278</v>
      </c>
      <c r="F361" s="916" t="s">
        <v>279</v>
      </c>
      <c r="G361" s="916" t="s">
        <v>280</v>
      </c>
    </row>
    <row r="362" spans="1:7" s="413" customFormat="1">
      <c r="A362" s="1798"/>
      <c r="B362" s="1800"/>
      <c r="C362" s="1800"/>
      <c r="D362" s="1800"/>
      <c r="E362" s="1802"/>
      <c r="F362" s="917" t="s">
        <v>67</v>
      </c>
      <c r="G362" s="917" t="s">
        <v>67</v>
      </c>
    </row>
    <row r="363" spans="1:7" s="413" customFormat="1">
      <c r="A363" s="918" t="s">
        <v>68</v>
      </c>
      <c r="B363" s="919" t="s">
        <v>298</v>
      </c>
      <c r="C363" s="920"/>
      <c r="D363" s="920"/>
      <c r="E363" s="921"/>
      <c r="F363" s="922"/>
      <c r="G363" s="922"/>
    </row>
    <row r="364" spans="1:7" s="413" customFormat="1">
      <c r="A364" s="918"/>
      <c r="B364" s="923" t="s">
        <v>69</v>
      </c>
      <c r="C364" s="924" t="s">
        <v>70</v>
      </c>
      <c r="D364" s="924" t="s">
        <v>71</v>
      </c>
      <c r="E364" s="925">
        <v>1</v>
      </c>
      <c r="F364" s="926">
        <f>Upah!$F$26</f>
        <v>130000</v>
      </c>
      <c r="G364" s="926">
        <f>+F364*E364</f>
        <v>130000</v>
      </c>
    </row>
    <row r="365" spans="1:7" s="413" customFormat="1">
      <c r="A365" s="918"/>
      <c r="B365" s="923" t="s">
        <v>54</v>
      </c>
      <c r="C365" s="993" t="s">
        <v>72</v>
      </c>
      <c r="D365" s="993" t="s">
        <v>71</v>
      </c>
      <c r="E365" s="994">
        <v>0.5</v>
      </c>
      <c r="F365" s="995">
        <f>Upah!$F$17</f>
        <v>140000</v>
      </c>
      <c r="G365" s="926">
        <f t="shared" ref="G365" si="33">+F365*E365</f>
        <v>70000</v>
      </c>
    </row>
    <row r="366" spans="1:7" s="413" customFormat="1">
      <c r="A366" s="918"/>
      <c r="B366" s="923" t="s">
        <v>50</v>
      </c>
      <c r="C366" s="927" t="s">
        <v>75</v>
      </c>
      <c r="D366" s="927" t="s">
        <v>71</v>
      </c>
      <c r="E366" s="928">
        <v>0.1</v>
      </c>
      <c r="F366" s="929">
        <f>Upah!$F$8</f>
        <v>170000</v>
      </c>
      <c r="G366" s="929">
        <f>+F366*E366</f>
        <v>17000</v>
      </c>
    </row>
    <row r="367" spans="1:7" s="413" customFormat="1">
      <c r="A367" s="918"/>
      <c r="B367" s="930"/>
      <c r="C367" s="931" t="s">
        <v>632</v>
      </c>
      <c r="D367" s="932"/>
      <c r="E367" s="933"/>
      <c r="F367" s="934"/>
      <c r="G367" s="935">
        <f>SUM(G364:G366)</f>
        <v>217000</v>
      </c>
    </row>
    <row r="368" spans="1:7" s="413" customFormat="1">
      <c r="A368" s="918" t="s">
        <v>77</v>
      </c>
      <c r="B368" s="936" t="s">
        <v>299</v>
      </c>
      <c r="C368" s="996"/>
      <c r="D368" s="996"/>
      <c r="E368" s="997"/>
      <c r="F368" s="998"/>
      <c r="G368" s="926"/>
    </row>
    <row r="369" spans="1:7" s="413" customFormat="1">
      <c r="A369" s="918"/>
      <c r="B369" s="1035" t="s">
        <v>348</v>
      </c>
      <c r="C369" s="1036"/>
      <c r="D369" s="1037" t="s">
        <v>270</v>
      </c>
      <c r="E369" s="1038">
        <v>1.2</v>
      </c>
      <c r="F369" s="926">
        <f>Bahan!E89</f>
        <v>245000</v>
      </c>
      <c r="G369" s="926">
        <f t="shared" ref="G369:G371" si="34">+F369*E369</f>
        <v>294000</v>
      </c>
    </row>
    <row r="370" spans="1:7" s="413" customFormat="1">
      <c r="A370" s="918"/>
      <c r="B370" s="1101" t="s">
        <v>87</v>
      </c>
      <c r="C370" s="1102"/>
      <c r="D370" s="1103" t="s">
        <v>268</v>
      </c>
      <c r="E370" s="1104">
        <v>135</v>
      </c>
      <c r="F370" s="1105">
        <f>Bahan!$E$286</f>
        <v>1450</v>
      </c>
      <c r="G370" s="926">
        <f t="shared" si="34"/>
        <v>195750</v>
      </c>
    </row>
    <row r="371" spans="1:7" s="413" customFormat="1">
      <c r="A371" s="1043"/>
      <c r="B371" s="1044" t="s">
        <v>88</v>
      </c>
      <c r="C371" s="1045"/>
      <c r="D371" s="1046" t="s">
        <v>270</v>
      </c>
      <c r="E371" s="1047">
        <v>0.54400000000000004</v>
      </c>
      <c r="F371" s="926">
        <f>Bahan!$E$106</f>
        <v>270000</v>
      </c>
      <c r="G371" s="926">
        <f t="shared" si="34"/>
        <v>146880</v>
      </c>
    </row>
    <row r="372" spans="1:7" s="413" customFormat="1">
      <c r="A372" s="918"/>
      <c r="B372" s="930"/>
      <c r="C372" s="940" t="s">
        <v>642</v>
      </c>
      <c r="D372" s="941"/>
      <c r="E372" s="942"/>
      <c r="F372" s="943"/>
      <c r="G372" s="944">
        <f>SUM(G369:G371)</f>
        <v>636630</v>
      </c>
    </row>
    <row r="373" spans="1:7" s="413" customFormat="1">
      <c r="A373" s="918" t="s">
        <v>80</v>
      </c>
      <c r="B373" s="945" t="s">
        <v>250</v>
      </c>
      <c r="C373" s="1022"/>
      <c r="D373" s="1022"/>
      <c r="E373" s="1023"/>
      <c r="F373" s="948"/>
      <c r="G373" s="948"/>
    </row>
    <row r="374" spans="1:7" s="413" customFormat="1">
      <c r="A374" s="918"/>
      <c r="B374" s="1106" t="s">
        <v>349</v>
      </c>
      <c r="C374" s="1050"/>
      <c r="D374" s="1051" t="s">
        <v>51</v>
      </c>
      <c r="E374" s="1052">
        <v>4.4299999999999999E-2</v>
      </c>
      <c r="F374" s="1053">
        <f>Alat!E19</f>
        <v>298458</v>
      </c>
      <c r="G374" s="926">
        <f t="shared" ref="G374" si="35">+F374*E374</f>
        <v>13221.689399999999</v>
      </c>
    </row>
    <row r="375" spans="1:7" s="413" customFormat="1">
      <c r="A375" s="960"/>
      <c r="B375" s="961"/>
      <c r="C375" s="962" t="s">
        <v>287</v>
      </c>
      <c r="D375" s="941"/>
      <c r="E375" s="942"/>
      <c r="F375" s="943"/>
      <c r="G375" s="944">
        <f>SUM(G374)</f>
        <v>13221.689399999999</v>
      </c>
    </row>
    <row r="376" spans="1:7" s="413" customFormat="1">
      <c r="A376" s="963" t="s">
        <v>83</v>
      </c>
      <c r="B376" s="964" t="s">
        <v>292</v>
      </c>
      <c r="C376" s="965"/>
      <c r="D376" s="915"/>
      <c r="E376" s="966"/>
      <c r="F376" s="967"/>
      <c r="G376" s="968">
        <f>+G375+G372+G367</f>
        <v>866851.68940000003</v>
      </c>
    </row>
    <row r="377" spans="1:7" s="413" customFormat="1">
      <c r="A377" s="963" t="s">
        <v>84</v>
      </c>
      <c r="B377" s="969" t="s">
        <v>293</v>
      </c>
      <c r="C377" s="912"/>
      <c r="D377" s="915"/>
      <c r="E377" s="970">
        <f>$I$2</f>
        <v>0.1</v>
      </c>
      <c r="F377" s="967"/>
      <c r="G377" s="968">
        <f>+G376*E377</f>
        <v>86685.168940000003</v>
      </c>
    </row>
    <row r="378" spans="1:7" s="413" customFormat="1" ht="15" thickBot="1">
      <c r="A378" s="971" t="s">
        <v>85</v>
      </c>
      <c r="B378" s="972" t="s">
        <v>86</v>
      </c>
      <c r="C378" s="973"/>
      <c r="D378" s="973"/>
      <c r="E378" s="974"/>
      <c r="F378" s="975"/>
      <c r="G378" s="976">
        <f>+G377+G376</f>
        <v>953536.85834000004</v>
      </c>
    </row>
    <row r="379" spans="1:7" s="105" customFormat="1" ht="15" thickTop="1">
      <c r="A379" s="10"/>
      <c r="B379" s="10"/>
      <c r="C379" s="10"/>
      <c r="D379" s="10"/>
      <c r="E379" s="1004"/>
      <c r="F379" s="10"/>
      <c r="G379" s="46"/>
    </row>
    <row r="380" spans="1:7" s="111" customFormat="1">
      <c r="A380" s="10"/>
      <c r="B380" s="10"/>
      <c r="C380" s="10"/>
      <c r="D380" s="10"/>
      <c r="E380" s="1004"/>
      <c r="F380" s="10"/>
      <c r="G380" s="46"/>
    </row>
    <row r="381" spans="1:7" s="111" customFormat="1">
      <c r="A381" s="10"/>
      <c r="B381" s="10"/>
      <c r="C381" s="10"/>
      <c r="D381" s="10"/>
      <c r="E381" s="1004"/>
      <c r="F381" s="10"/>
      <c r="G381" s="46"/>
    </row>
    <row r="382" spans="1:7" s="111" customFormat="1">
      <c r="A382" s="10"/>
      <c r="B382" s="10"/>
      <c r="C382" s="10"/>
      <c r="D382" s="10"/>
      <c r="E382" s="1004"/>
      <c r="F382" s="10"/>
      <c r="G382" s="46"/>
    </row>
    <row r="383" spans="1:7" s="111" customFormat="1">
      <c r="A383" s="10"/>
      <c r="B383" s="10"/>
      <c r="C383" s="10"/>
      <c r="D383" s="10"/>
      <c r="E383" s="1004"/>
      <c r="F383" s="10"/>
      <c r="G383" s="46"/>
    </row>
    <row r="384" spans="1:7" s="111" customFormat="1">
      <c r="A384" s="10"/>
      <c r="B384" s="10"/>
      <c r="C384" s="10"/>
      <c r="D384" s="10"/>
      <c r="E384" s="1004"/>
      <c r="F384" s="10"/>
      <c r="G384" s="46"/>
    </row>
    <row r="385" spans="1:7" s="111" customFormat="1">
      <c r="A385" s="10"/>
      <c r="B385" s="10"/>
      <c r="C385" s="10"/>
      <c r="D385" s="10"/>
      <c r="E385" s="1004"/>
      <c r="F385" s="10"/>
      <c r="G385" s="46"/>
    </row>
    <row r="386" spans="1:7" s="111" customFormat="1">
      <c r="A386" s="10"/>
      <c r="B386" s="10"/>
      <c r="C386" s="10"/>
      <c r="D386" s="10"/>
      <c r="E386" s="1004"/>
      <c r="F386" s="10"/>
      <c r="G386" s="46"/>
    </row>
    <row r="387" spans="1:7" s="111" customFormat="1" ht="13.5" customHeight="1" thickBot="1">
      <c r="A387" s="1865" t="s">
        <v>999</v>
      </c>
      <c r="B387" s="1865"/>
      <c r="C387" s="1865"/>
      <c r="D387" s="1865"/>
      <c r="E387" s="1865"/>
      <c r="F387" s="1865"/>
      <c r="G387" s="1865"/>
    </row>
    <row r="388" spans="1:7" s="111" customFormat="1" ht="13.5" customHeight="1" thickTop="1">
      <c r="A388" s="1797" t="s">
        <v>275</v>
      </c>
      <c r="B388" s="1799" t="s">
        <v>295</v>
      </c>
      <c r="C388" s="1799" t="s">
        <v>276</v>
      </c>
      <c r="D388" s="1799" t="s">
        <v>277</v>
      </c>
      <c r="E388" s="1801" t="s">
        <v>278</v>
      </c>
      <c r="F388" s="916" t="s">
        <v>279</v>
      </c>
      <c r="G388" s="916" t="s">
        <v>280</v>
      </c>
    </row>
    <row r="389" spans="1:7" s="111" customFormat="1" ht="13.5" customHeight="1">
      <c r="A389" s="1798"/>
      <c r="B389" s="1800"/>
      <c r="C389" s="1800"/>
      <c r="D389" s="1800"/>
      <c r="E389" s="1802"/>
      <c r="F389" s="917" t="s">
        <v>67</v>
      </c>
      <c r="G389" s="917" t="s">
        <v>67</v>
      </c>
    </row>
    <row r="390" spans="1:7" s="111" customFormat="1" ht="13.5" customHeight="1">
      <c r="A390" s="1107" t="s">
        <v>262</v>
      </c>
      <c r="B390" s="1108" t="s">
        <v>718</v>
      </c>
      <c r="C390" s="1109"/>
      <c r="D390" s="1109"/>
      <c r="E390" s="1109"/>
      <c r="F390" s="1109"/>
      <c r="G390" s="1110"/>
    </row>
    <row r="391" spans="1:7" s="111" customFormat="1" ht="13.5" customHeight="1">
      <c r="A391" s="1111"/>
      <c r="B391" s="1112" t="s">
        <v>69</v>
      </c>
      <c r="C391" s="1113" t="s">
        <v>70</v>
      </c>
      <c r="D391" s="1113" t="s">
        <v>71</v>
      </c>
      <c r="E391" s="1114">
        <v>1.3900999999999999</v>
      </c>
      <c r="F391" s="1115">
        <f>F364</f>
        <v>130000</v>
      </c>
      <c r="G391" s="1116">
        <f>F391*E391</f>
        <v>180713</v>
      </c>
    </row>
    <row r="392" spans="1:7" s="111" customFormat="1" ht="13.5" customHeight="1">
      <c r="A392" s="1111"/>
      <c r="B392" s="1112" t="s">
        <v>54</v>
      </c>
      <c r="C392" s="1113" t="s">
        <v>72</v>
      </c>
      <c r="D392" s="1113" t="s">
        <v>71</v>
      </c>
      <c r="E392" s="1114">
        <v>0.28960000000000002</v>
      </c>
      <c r="F392" s="1115">
        <f>F365</f>
        <v>140000</v>
      </c>
      <c r="G392" s="1116">
        <f>F392*E392</f>
        <v>40544</v>
      </c>
    </row>
    <row r="393" spans="1:7" s="111" customFormat="1" ht="13.5" customHeight="1">
      <c r="A393" s="1117"/>
      <c r="B393" s="1118" t="s">
        <v>50</v>
      </c>
      <c r="C393" s="1119" t="s">
        <v>75</v>
      </c>
      <c r="D393" s="1119" t="s">
        <v>71</v>
      </c>
      <c r="E393" s="1120">
        <v>6.9500000000000006E-2</v>
      </c>
      <c r="F393" s="1121">
        <f>F366</f>
        <v>170000</v>
      </c>
      <c r="G393" s="1122">
        <f>F393*E393</f>
        <v>11815.000000000002</v>
      </c>
    </row>
    <row r="394" spans="1:7" s="111" customFormat="1" ht="13.5" customHeight="1">
      <c r="A394" s="1123"/>
      <c r="B394" s="1124"/>
      <c r="C394" s="1124"/>
      <c r="D394" s="1124"/>
      <c r="E394" s="1866" t="s">
        <v>76</v>
      </c>
      <c r="F394" s="1867"/>
      <c r="G394" s="1125">
        <f>SUM(G391:G393)</f>
        <v>233072</v>
      </c>
    </row>
    <row r="395" spans="1:7" s="111" customFormat="1" ht="13.5" customHeight="1">
      <c r="A395" s="1126" t="s">
        <v>263</v>
      </c>
      <c r="B395" s="1127" t="s">
        <v>78</v>
      </c>
      <c r="C395" s="1128"/>
      <c r="D395" s="1128"/>
      <c r="E395" s="1128"/>
      <c r="F395" s="1128"/>
      <c r="G395" s="1129"/>
    </row>
    <row r="396" spans="1:7" s="111" customFormat="1" ht="13.5" customHeight="1">
      <c r="A396" s="1130"/>
      <c r="B396" s="1131" t="s">
        <v>348</v>
      </c>
      <c r="C396" s="1112"/>
      <c r="D396" s="1113" t="s">
        <v>10</v>
      </c>
      <c r="E396" s="1114">
        <v>0.52800000000000002</v>
      </c>
      <c r="F396" s="1132">
        <f>F369</f>
        <v>245000</v>
      </c>
      <c r="G396" s="1116">
        <f t="shared" ref="G396:G400" si="36">F396*E396</f>
        <v>129360</v>
      </c>
    </row>
    <row r="397" spans="1:7" s="111" customFormat="1" ht="13.5" customHeight="1">
      <c r="A397" s="1130"/>
      <c r="B397" s="1133" t="s">
        <v>167</v>
      </c>
      <c r="C397" s="1112"/>
      <c r="D397" s="1113" t="s">
        <v>268</v>
      </c>
      <c r="E397" s="1114">
        <v>184</v>
      </c>
      <c r="F397" s="1132">
        <f>F370</f>
        <v>1450</v>
      </c>
      <c r="G397" s="1116">
        <f t="shared" si="36"/>
        <v>266800</v>
      </c>
    </row>
    <row r="398" spans="1:7" s="111" customFormat="1" ht="13.5" customHeight="1">
      <c r="A398" s="1130"/>
      <c r="B398" s="1131" t="s">
        <v>889</v>
      </c>
      <c r="C398" s="1112"/>
      <c r="D398" s="1113" t="s">
        <v>268</v>
      </c>
      <c r="E398" s="1114">
        <v>499</v>
      </c>
      <c r="F398" s="1132">
        <f>F273</f>
        <v>282.14285714285717</v>
      </c>
      <c r="G398" s="1116">
        <f t="shared" si="36"/>
        <v>140789.28571428574</v>
      </c>
    </row>
    <row r="399" spans="1:7" s="111" customFormat="1" ht="13.5" customHeight="1">
      <c r="A399" s="1130"/>
      <c r="B399" s="1131" t="s">
        <v>997</v>
      </c>
      <c r="C399" s="1112"/>
      <c r="D399" s="1113" t="s">
        <v>268</v>
      </c>
      <c r="E399" s="1114">
        <v>606</v>
      </c>
      <c r="F399" s="1132">
        <f>F274</f>
        <v>152.77777777777777</v>
      </c>
      <c r="G399" s="1116">
        <f t="shared" si="36"/>
        <v>92583.333333333328</v>
      </c>
    </row>
    <row r="400" spans="1:7" s="111" customFormat="1" ht="13.5" customHeight="1">
      <c r="A400" s="1117"/>
      <c r="B400" s="1134" t="s">
        <v>89</v>
      </c>
      <c r="C400" s="1118"/>
      <c r="D400" s="1119" t="s">
        <v>998</v>
      </c>
      <c r="E400" s="1120">
        <v>121</v>
      </c>
      <c r="F400" s="1135">
        <f>F275</f>
        <v>150</v>
      </c>
      <c r="G400" s="1122">
        <f t="shared" si="36"/>
        <v>18150</v>
      </c>
    </row>
    <row r="401" spans="1:7" s="111" customFormat="1" ht="13.5" customHeight="1">
      <c r="A401" s="1123"/>
      <c r="B401" s="1124"/>
      <c r="C401" s="1124"/>
      <c r="D401" s="1124"/>
      <c r="E401" s="1866" t="s">
        <v>79</v>
      </c>
      <c r="F401" s="1867"/>
      <c r="G401" s="1125">
        <f>SUM(G396:G400)</f>
        <v>647682.61904761905</v>
      </c>
    </row>
    <row r="402" spans="1:7" s="111" customFormat="1" ht="13.5" customHeight="1">
      <c r="A402" s="1136" t="s">
        <v>264</v>
      </c>
      <c r="B402" s="1137" t="s">
        <v>81</v>
      </c>
      <c r="C402" s="1124"/>
      <c r="D402" s="1124"/>
      <c r="E402" s="1124"/>
      <c r="F402" s="1124"/>
      <c r="G402" s="1138"/>
    </row>
    <row r="403" spans="1:7" s="111" customFormat="1" ht="13.5" customHeight="1">
      <c r="A403" s="1123"/>
      <c r="B403" s="1124"/>
      <c r="C403" s="1124"/>
      <c r="D403" s="1124"/>
      <c r="E403" s="1124"/>
      <c r="F403" s="1124"/>
      <c r="G403" s="1138"/>
    </row>
    <row r="404" spans="1:7" s="111" customFormat="1" ht="13.5" customHeight="1">
      <c r="A404" s="1123"/>
      <c r="B404" s="1124"/>
      <c r="C404" s="1124"/>
      <c r="D404" s="1124"/>
      <c r="E404" s="1866" t="s">
        <v>82</v>
      </c>
      <c r="F404" s="1867"/>
      <c r="G404" s="1138">
        <v>0</v>
      </c>
    </row>
    <row r="405" spans="1:7" s="111" customFormat="1" ht="13.5" customHeight="1">
      <c r="A405" s="1139" t="s">
        <v>281</v>
      </c>
      <c r="B405" s="1868" t="s">
        <v>282</v>
      </c>
      <c r="C405" s="1869"/>
      <c r="D405" s="1869"/>
      <c r="E405" s="1869"/>
      <c r="F405" s="1870"/>
      <c r="G405" s="1140">
        <f>G404+G401+G394</f>
        <v>880754.61904761905</v>
      </c>
    </row>
    <row r="406" spans="1:7" s="111" customFormat="1" ht="13.5" customHeight="1">
      <c r="A406" s="1141" t="s">
        <v>90</v>
      </c>
      <c r="B406" s="1871" t="s">
        <v>619</v>
      </c>
      <c r="C406" s="1872"/>
      <c r="D406" s="1872"/>
      <c r="E406" s="970">
        <f>$I$2</f>
        <v>0.1</v>
      </c>
      <c r="F406" s="967"/>
      <c r="G406" s="968">
        <f>+G405*E406</f>
        <v>88075.461904761905</v>
      </c>
    </row>
    <row r="407" spans="1:7" s="111" customFormat="1" ht="13.5" customHeight="1">
      <c r="A407" s="1142" t="s">
        <v>94</v>
      </c>
      <c r="B407" s="1873" t="s">
        <v>86</v>
      </c>
      <c r="C407" s="1874"/>
      <c r="D407" s="1874"/>
      <c r="E407" s="1874"/>
      <c r="F407" s="1875"/>
      <c r="G407" s="1143">
        <f>G406+G405</f>
        <v>968830.08095238102</v>
      </c>
    </row>
    <row r="408" spans="1:7" s="111" customFormat="1" ht="13.5" customHeight="1">
      <c r="A408" s="10"/>
      <c r="B408" s="10"/>
      <c r="C408" s="10"/>
      <c r="D408" s="10"/>
      <c r="E408" s="1004"/>
      <c r="F408" s="10"/>
      <c r="G408" s="46"/>
    </row>
    <row r="409" spans="1:7" s="111" customFormat="1">
      <c r="A409" s="10"/>
      <c r="B409" s="10"/>
      <c r="C409" s="10"/>
      <c r="D409" s="10"/>
      <c r="E409" s="1004"/>
      <c r="F409" s="10"/>
      <c r="G409" s="46"/>
    </row>
    <row r="410" spans="1:7" ht="12.75" customHeight="1">
      <c r="A410" s="10" t="s">
        <v>350</v>
      </c>
    </row>
    <row r="411" spans="1:7" ht="12.75" customHeight="1">
      <c r="A411" s="10" t="s">
        <v>351</v>
      </c>
    </row>
    <row r="412" spans="1:7" ht="12.75" customHeight="1">
      <c r="A412" s="10" t="s">
        <v>352</v>
      </c>
    </row>
    <row r="413" spans="1:7" ht="12.75" customHeight="1" thickBot="1">
      <c r="A413" s="10" t="s">
        <v>353</v>
      </c>
    </row>
    <row r="414" spans="1:7" ht="12.75" customHeight="1" thickTop="1">
      <c r="A414" s="1797" t="s">
        <v>275</v>
      </c>
      <c r="B414" s="1799" t="s">
        <v>295</v>
      </c>
      <c r="C414" s="1799" t="s">
        <v>276</v>
      </c>
      <c r="D414" s="1799" t="s">
        <v>277</v>
      </c>
      <c r="E414" s="1801" t="s">
        <v>278</v>
      </c>
      <c r="F414" s="916" t="s">
        <v>279</v>
      </c>
      <c r="G414" s="916" t="s">
        <v>280</v>
      </c>
    </row>
    <row r="415" spans="1:7" ht="12.75" customHeight="1">
      <c r="A415" s="1798"/>
      <c r="B415" s="1800"/>
      <c r="C415" s="1800"/>
      <c r="D415" s="1800"/>
      <c r="E415" s="1802"/>
      <c r="F415" s="917" t="s">
        <v>67</v>
      </c>
      <c r="G415" s="917" t="s">
        <v>67</v>
      </c>
    </row>
    <row r="416" spans="1:7" ht="12.75" customHeight="1">
      <c r="A416" s="918" t="s">
        <v>68</v>
      </c>
      <c r="B416" s="919" t="s">
        <v>298</v>
      </c>
      <c r="C416" s="920"/>
      <c r="D416" s="920"/>
      <c r="E416" s="921"/>
      <c r="F416" s="922"/>
      <c r="G416" s="922"/>
    </row>
    <row r="417" spans="1:7" ht="12.75" customHeight="1">
      <c r="A417" s="918"/>
      <c r="B417" s="923" t="s">
        <v>69</v>
      </c>
      <c r="C417" s="924" t="s">
        <v>70</v>
      </c>
      <c r="D417" s="924" t="s">
        <v>71</v>
      </c>
      <c r="E417" s="925">
        <v>0.15</v>
      </c>
      <c r="F417" s="926">
        <f>Upah!$F$26</f>
        <v>130000</v>
      </c>
      <c r="G417" s="926">
        <f>+F417*E417</f>
        <v>19500</v>
      </c>
    </row>
    <row r="418" spans="1:7" ht="12.75" customHeight="1">
      <c r="A418" s="918"/>
      <c r="B418" s="923" t="s">
        <v>57</v>
      </c>
      <c r="C418" s="993" t="s">
        <v>72</v>
      </c>
      <c r="D418" s="993" t="s">
        <v>71</v>
      </c>
      <c r="E418" s="994">
        <v>7.4999999999999997E-2</v>
      </c>
      <c r="F418" s="995">
        <f>Upah!$F$18</f>
        <v>140000</v>
      </c>
      <c r="G418" s="926">
        <f t="shared" ref="G418:G419" si="37">+F418*E418</f>
        <v>10500</v>
      </c>
    </row>
    <row r="419" spans="1:7" ht="12.75" customHeight="1">
      <c r="A419" s="918"/>
      <c r="B419" s="923" t="s">
        <v>73</v>
      </c>
      <c r="C419" s="993" t="s">
        <v>74</v>
      </c>
      <c r="D419" s="993" t="s">
        <v>71</v>
      </c>
      <c r="E419" s="994">
        <v>7.4999999999999997E-3</v>
      </c>
      <c r="F419" s="995">
        <f>Upah!$F$10</f>
        <v>150000</v>
      </c>
      <c r="G419" s="926">
        <f t="shared" si="37"/>
        <v>1125</v>
      </c>
    </row>
    <row r="420" spans="1:7" ht="12.75" customHeight="1">
      <c r="A420" s="918"/>
      <c r="B420" s="923" t="s">
        <v>50</v>
      </c>
      <c r="C420" s="927" t="s">
        <v>75</v>
      </c>
      <c r="D420" s="927" t="s">
        <v>71</v>
      </c>
      <c r="E420" s="928">
        <v>3.0000000000000001E-3</v>
      </c>
      <c r="F420" s="929">
        <f>Upah!$F$8</f>
        <v>170000</v>
      </c>
      <c r="G420" s="929">
        <f>+F420*E420</f>
        <v>510</v>
      </c>
    </row>
    <row r="421" spans="1:7" ht="12.75" customHeight="1">
      <c r="A421" s="918"/>
      <c r="B421" s="930"/>
      <c r="C421" s="931" t="s">
        <v>632</v>
      </c>
      <c r="D421" s="932"/>
      <c r="E421" s="933"/>
      <c r="F421" s="934"/>
      <c r="G421" s="935">
        <f>SUM(G417:G420)</f>
        <v>31635</v>
      </c>
    </row>
    <row r="422" spans="1:7" ht="12.75" customHeight="1">
      <c r="A422" s="918" t="s">
        <v>77</v>
      </c>
      <c r="B422" s="945" t="s">
        <v>299</v>
      </c>
      <c r="C422" s="946"/>
      <c r="D422" s="946"/>
      <c r="E422" s="947"/>
      <c r="F422" s="998"/>
      <c r="G422" s="926"/>
    </row>
    <row r="423" spans="1:7" ht="12.75" customHeight="1">
      <c r="A423" s="918"/>
      <c r="B423" s="1144" t="s">
        <v>354</v>
      </c>
      <c r="C423" s="1145"/>
      <c r="D423" s="1145" t="s">
        <v>291</v>
      </c>
      <c r="E423" s="958">
        <v>25</v>
      </c>
      <c r="F423" s="1146">
        <f>Bahan!E245</f>
        <v>4900</v>
      </c>
      <c r="G423" s="926">
        <f t="shared" ref="G423" si="38">+F423*E423</f>
        <v>122500</v>
      </c>
    </row>
    <row r="424" spans="1:7" ht="12.75" customHeight="1">
      <c r="A424" s="918"/>
      <c r="B424" s="930"/>
      <c r="C424" s="940" t="s">
        <v>642</v>
      </c>
      <c r="D424" s="941"/>
      <c r="E424" s="942"/>
      <c r="F424" s="943"/>
      <c r="G424" s="944">
        <f>SUM(G423:G423)</f>
        <v>122500</v>
      </c>
    </row>
    <row r="425" spans="1:7" ht="12.75" customHeight="1">
      <c r="A425" s="918" t="s">
        <v>80</v>
      </c>
      <c r="B425" s="919" t="s">
        <v>250</v>
      </c>
      <c r="C425" s="937"/>
      <c r="D425" s="946"/>
      <c r="E425" s="947"/>
      <c r="F425" s="948"/>
      <c r="G425" s="926">
        <v>0</v>
      </c>
    </row>
    <row r="426" spans="1:7" ht="12.75" customHeight="1">
      <c r="A426" s="960"/>
      <c r="B426" s="961"/>
      <c r="C426" s="962" t="s">
        <v>287</v>
      </c>
      <c r="D426" s="941"/>
      <c r="E426" s="942"/>
      <c r="F426" s="943"/>
      <c r="G426" s="944">
        <v>0</v>
      </c>
    </row>
    <row r="427" spans="1:7" ht="12.75" customHeight="1">
      <c r="A427" s="963" t="s">
        <v>83</v>
      </c>
      <c r="B427" s="964" t="s">
        <v>292</v>
      </c>
      <c r="C427" s="965"/>
      <c r="D427" s="915"/>
      <c r="E427" s="966"/>
      <c r="F427" s="967"/>
      <c r="G427" s="968">
        <f>+G426+G424+G421</f>
        <v>154135</v>
      </c>
    </row>
    <row r="428" spans="1:7" ht="12.75" customHeight="1">
      <c r="A428" s="963" t="s">
        <v>84</v>
      </c>
      <c r="B428" s="969" t="s">
        <v>293</v>
      </c>
      <c r="C428" s="912"/>
      <c r="D428" s="915"/>
      <c r="E428" s="970">
        <f>$I$2</f>
        <v>0.1</v>
      </c>
      <c r="F428" s="967"/>
      <c r="G428" s="968">
        <f>+G427*E428</f>
        <v>15413.5</v>
      </c>
    </row>
    <row r="429" spans="1:7" ht="12.75" customHeight="1" thickBot="1">
      <c r="A429" s="971" t="s">
        <v>85</v>
      </c>
      <c r="B429" s="972" t="s">
        <v>86</v>
      </c>
      <c r="C429" s="973"/>
      <c r="D429" s="973"/>
      <c r="E429" s="974"/>
      <c r="F429" s="975"/>
      <c r="G429" s="976">
        <f>+G428+G427</f>
        <v>169548.5</v>
      </c>
    </row>
    <row r="430" spans="1:7" ht="12.75" customHeight="1" thickTop="1"/>
    <row r="431" spans="1:7" ht="12.75" customHeight="1" thickBot="1">
      <c r="A431" s="10" t="s">
        <v>356</v>
      </c>
    </row>
    <row r="432" spans="1:7" ht="12.75" customHeight="1" thickTop="1">
      <c r="A432" s="1797" t="s">
        <v>275</v>
      </c>
      <c r="B432" s="1799" t="s">
        <v>295</v>
      </c>
      <c r="C432" s="1799" t="s">
        <v>276</v>
      </c>
      <c r="D432" s="1799" t="s">
        <v>277</v>
      </c>
      <c r="E432" s="1801" t="s">
        <v>278</v>
      </c>
      <c r="F432" s="916" t="s">
        <v>279</v>
      </c>
      <c r="G432" s="916" t="s">
        <v>280</v>
      </c>
    </row>
    <row r="433" spans="1:7" ht="12.75" customHeight="1">
      <c r="A433" s="1798"/>
      <c r="B433" s="1800"/>
      <c r="C433" s="1800"/>
      <c r="D433" s="1800"/>
      <c r="E433" s="1802"/>
      <c r="F433" s="917" t="s">
        <v>67</v>
      </c>
      <c r="G433" s="917" t="s">
        <v>67</v>
      </c>
    </row>
    <row r="434" spans="1:7" ht="12.75" customHeight="1">
      <c r="A434" s="918" t="s">
        <v>68</v>
      </c>
      <c r="B434" s="919" t="s">
        <v>298</v>
      </c>
      <c r="C434" s="920"/>
      <c r="D434" s="920"/>
      <c r="E434" s="921"/>
      <c r="F434" s="922"/>
      <c r="G434" s="922"/>
    </row>
    <row r="435" spans="1:7" ht="12.75" customHeight="1">
      <c r="A435" s="918"/>
      <c r="B435" s="923" t="s">
        <v>69</v>
      </c>
      <c r="C435" s="924" t="s">
        <v>70</v>
      </c>
      <c r="D435" s="924" t="s">
        <v>71</v>
      </c>
      <c r="E435" s="925">
        <v>0.4</v>
      </c>
      <c r="F435" s="926">
        <f>Upah!$F$26</f>
        <v>130000</v>
      </c>
      <c r="G435" s="926">
        <f>+F435*E435</f>
        <v>52000</v>
      </c>
    </row>
    <row r="436" spans="1:7" ht="12.75" customHeight="1">
      <c r="A436" s="918"/>
      <c r="B436" s="923" t="s">
        <v>57</v>
      </c>
      <c r="C436" s="993" t="s">
        <v>72</v>
      </c>
      <c r="D436" s="993" t="s">
        <v>71</v>
      </c>
      <c r="E436" s="994">
        <v>0.2</v>
      </c>
      <c r="F436" s="995">
        <f>Upah!$F$18</f>
        <v>140000</v>
      </c>
      <c r="G436" s="926">
        <f t="shared" ref="G436:G437" si="39">+F436*E436</f>
        <v>28000</v>
      </c>
    </row>
    <row r="437" spans="1:7" ht="12.75" customHeight="1">
      <c r="A437" s="918"/>
      <c r="B437" s="923" t="s">
        <v>73</v>
      </c>
      <c r="C437" s="993" t="s">
        <v>74</v>
      </c>
      <c r="D437" s="993" t="s">
        <v>71</v>
      </c>
      <c r="E437" s="994">
        <v>0.02</v>
      </c>
      <c r="F437" s="995">
        <f>Upah!$F$10</f>
        <v>150000</v>
      </c>
      <c r="G437" s="926">
        <f t="shared" si="39"/>
        <v>3000</v>
      </c>
    </row>
    <row r="438" spans="1:7" ht="12.75" customHeight="1">
      <c r="A438" s="918"/>
      <c r="B438" s="923" t="s">
        <v>50</v>
      </c>
      <c r="C438" s="927" t="s">
        <v>75</v>
      </c>
      <c r="D438" s="927" t="s">
        <v>71</v>
      </c>
      <c r="E438" s="928">
        <v>6.7000000000000002E-3</v>
      </c>
      <c r="F438" s="929">
        <f>Upah!$F$8</f>
        <v>170000</v>
      </c>
      <c r="G438" s="929">
        <f>+F438*E438</f>
        <v>1139</v>
      </c>
    </row>
    <row r="439" spans="1:7" ht="12.75" customHeight="1">
      <c r="A439" s="918"/>
      <c r="B439" s="930"/>
      <c r="C439" s="931" t="s">
        <v>632</v>
      </c>
      <c r="D439" s="932"/>
      <c r="E439" s="933"/>
      <c r="F439" s="934"/>
      <c r="G439" s="935">
        <f>SUM(G435:G438)</f>
        <v>84139</v>
      </c>
    </row>
    <row r="440" spans="1:7" ht="12.75" customHeight="1">
      <c r="A440" s="918" t="s">
        <v>77</v>
      </c>
      <c r="B440" s="945" t="s">
        <v>299</v>
      </c>
      <c r="C440" s="946"/>
      <c r="D440" s="946"/>
      <c r="E440" s="947"/>
      <c r="F440" s="998"/>
      <c r="G440" s="926"/>
    </row>
    <row r="441" spans="1:7" ht="12.75" customHeight="1">
      <c r="A441" s="1043"/>
      <c r="B441" s="1147" t="s">
        <v>355</v>
      </c>
      <c r="C441" s="1148"/>
      <c r="D441" s="1148" t="s">
        <v>291</v>
      </c>
      <c r="E441" s="1149">
        <v>5</v>
      </c>
      <c r="F441" s="1034">
        <f>Bahan!E242</f>
        <v>16000</v>
      </c>
      <c r="G441" s="1034">
        <f t="shared" ref="G441:G443" si="40">+F441*E441</f>
        <v>80000</v>
      </c>
    </row>
    <row r="442" spans="1:7" ht="12.75" customHeight="1">
      <c r="A442" s="1043"/>
      <c r="B442" s="1150" t="s">
        <v>87</v>
      </c>
      <c r="C442" s="1151"/>
      <c r="D442" s="1151" t="s">
        <v>268</v>
      </c>
      <c r="E442" s="1152">
        <v>8</v>
      </c>
      <c r="F442" s="926">
        <f>Bahan!$E$286</f>
        <v>1450</v>
      </c>
      <c r="G442" s="926">
        <f t="shared" si="40"/>
        <v>11600</v>
      </c>
    </row>
    <row r="443" spans="1:7" ht="12.75" customHeight="1">
      <c r="A443" s="1043"/>
      <c r="B443" s="1153" t="s">
        <v>88</v>
      </c>
      <c r="C443" s="1040"/>
      <c r="D443" s="1040" t="s">
        <v>270</v>
      </c>
      <c r="E443" s="1154">
        <v>3.2000000000000001E-2</v>
      </c>
      <c r="F443" s="926">
        <f>Bahan!$E$106</f>
        <v>270000</v>
      </c>
      <c r="G443" s="926">
        <f t="shared" si="40"/>
        <v>8640</v>
      </c>
    </row>
    <row r="444" spans="1:7" ht="12.75" customHeight="1">
      <c r="A444" s="918"/>
      <c r="B444" s="930"/>
      <c r="C444" s="940" t="s">
        <v>642</v>
      </c>
      <c r="D444" s="941"/>
      <c r="E444" s="942"/>
      <c r="F444" s="943"/>
      <c r="G444" s="944">
        <f>SUM(G441:G443)</f>
        <v>100240</v>
      </c>
    </row>
    <row r="445" spans="1:7" ht="12.75" customHeight="1">
      <c r="A445" s="918" t="s">
        <v>80</v>
      </c>
      <c r="B445" s="919" t="s">
        <v>250</v>
      </c>
      <c r="C445" s="937"/>
      <c r="D445" s="946"/>
      <c r="E445" s="947"/>
      <c r="F445" s="948"/>
      <c r="G445" s="926">
        <v>0</v>
      </c>
    </row>
    <row r="446" spans="1:7" ht="12.75" customHeight="1">
      <c r="A446" s="960"/>
      <c r="B446" s="961"/>
      <c r="C446" s="962" t="s">
        <v>287</v>
      </c>
      <c r="D446" s="941"/>
      <c r="E446" s="942"/>
      <c r="F446" s="943"/>
      <c r="G446" s="944">
        <v>0</v>
      </c>
    </row>
    <row r="447" spans="1:7" ht="12.75" customHeight="1">
      <c r="A447" s="963" t="s">
        <v>83</v>
      </c>
      <c r="B447" s="964" t="s">
        <v>292</v>
      </c>
      <c r="C447" s="965"/>
      <c r="D447" s="915"/>
      <c r="E447" s="966"/>
      <c r="F447" s="967"/>
      <c r="G447" s="968">
        <f>+G446+G444+G439</f>
        <v>184379</v>
      </c>
    </row>
    <row r="448" spans="1:7" ht="12.75" customHeight="1">
      <c r="A448" s="963" t="s">
        <v>84</v>
      </c>
      <c r="B448" s="969" t="s">
        <v>293</v>
      </c>
      <c r="C448" s="912"/>
      <c r="D448" s="915"/>
      <c r="E448" s="970">
        <f>$I$2</f>
        <v>0.1</v>
      </c>
      <c r="F448" s="967"/>
      <c r="G448" s="968">
        <f>+G447*E448</f>
        <v>18437.900000000001</v>
      </c>
    </row>
    <row r="449" spans="1:7" ht="12.75" customHeight="1" thickBot="1">
      <c r="A449" s="971" t="s">
        <v>85</v>
      </c>
      <c r="B449" s="972" t="s">
        <v>86</v>
      </c>
      <c r="C449" s="973"/>
      <c r="D449" s="973"/>
      <c r="E449" s="974"/>
      <c r="F449" s="975"/>
      <c r="G449" s="976">
        <f>+G448+G447</f>
        <v>202816.9</v>
      </c>
    </row>
    <row r="450" spans="1:7" ht="12.75" customHeight="1" thickTop="1"/>
    <row r="451" spans="1:7" s="111" customFormat="1" ht="12.75" customHeight="1">
      <c r="A451" s="10"/>
      <c r="B451" s="10"/>
      <c r="C451" s="10"/>
      <c r="D451" s="10"/>
      <c r="E451" s="1004"/>
      <c r="F451" s="10"/>
      <c r="G451" s="46"/>
    </row>
    <row r="452" spans="1:7" s="111" customFormat="1" ht="12.75" customHeight="1">
      <c r="A452" s="10"/>
      <c r="B452" s="10"/>
      <c r="C452" s="10"/>
      <c r="D452" s="10"/>
      <c r="E452" s="1004"/>
      <c r="F452" s="10"/>
      <c r="G452" s="46"/>
    </row>
    <row r="453" spans="1:7" s="111" customFormat="1" ht="12.75" customHeight="1">
      <c r="A453" s="10"/>
      <c r="B453" s="10"/>
      <c r="C453" s="10"/>
      <c r="D453" s="10"/>
      <c r="E453" s="1004"/>
      <c r="F453" s="10"/>
      <c r="G453" s="46"/>
    </row>
    <row r="454" spans="1:7" s="111" customFormat="1" ht="12.75" customHeight="1">
      <c r="A454" s="10"/>
      <c r="B454" s="10"/>
      <c r="C454" s="10"/>
      <c r="D454" s="10"/>
      <c r="E454" s="1004"/>
      <c r="F454" s="10"/>
      <c r="G454" s="46"/>
    </row>
    <row r="455" spans="1:7" s="111" customFormat="1" ht="12.75" customHeight="1">
      <c r="A455" s="10"/>
      <c r="B455" s="10"/>
      <c r="C455" s="10"/>
      <c r="D455" s="10"/>
      <c r="E455" s="1004"/>
      <c r="F455" s="10"/>
      <c r="G455" s="46"/>
    </row>
    <row r="456" spans="1:7" s="111" customFormat="1" ht="12.75" customHeight="1">
      <c r="A456" s="10"/>
      <c r="B456" s="10"/>
      <c r="C456" s="10"/>
      <c r="D456" s="10"/>
      <c r="E456" s="1004"/>
      <c r="F456" s="10"/>
      <c r="G456" s="46"/>
    </row>
    <row r="457" spans="1:7" s="111" customFormat="1" ht="12.75" customHeight="1">
      <c r="A457" s="10"/>
      <c r="B457" s="10"/>
      <c r="C457" s="10"/>
      <c r="D457" s="10"/>
      <c r="E457" s="1004"/>
      <c r="F457" s="10"/>
      <c r="G457" s="46"/>
    </row>
    <row r="458" spans="1:7" s="111" customFormat="1" ht="12.75" customHeight="1">
      <c r="A458" s="10"/>
      <c r="B458" s="10"/>
      <c r="C458" s="10"/>
      <c r="D458" s="10"/>
      <c r="E458" s="1004"/>
      <c r="F458" s="10"/>
      <c r="G458" s="46"/>
    </row>
    <row r="459" spans="1:7" s="111" customFormat="1" ht="12.75" customHeight="1">
      <c r="A459" s="10"/>
      <c r="B459" s="10"/>
      <c r="C459" s="10"/>
      <c r="D459" s="10"/>
      <c r="E459" s="1004"/>
      <c r="F459" s="10"/>
      <c r="G459" s="46"/>
    </row>
    <row r="460" spans="1:7" s="111" customFormat="1" ht="12.75" customHeight="1">
      <c r="A460" s="10"/>
      <c r="B460" s="10"/>
      <c r="C460" s="10"/>
      <c r="D460" s="10"/>
      <c r="E460" s="1004"/>
      <c r="F460" s="10"/>
      <c r="G460" s="46"/>
    </row>
    <row r="461" spans="1:7" s="111" customFormat="1" ht="12.75" customHeight="1">
      <c r="A461" s="10"/>
      <c r="B461" s="10"/>
      <c r="C461" s="10"/>
      <c r="D461" s="10"/>
      <c r="E461" s="1004"/>
      <c r="F461" s="10"/>
      <c r="G461" s="46"/>
    </row>
    <row r="462" spans="1:7" ht="12.75" customHeight="1" thickBot="1">
      <c r="A462" s="10" t="s">
        <v>359</v>
      </c>
    </row>
    <row r="463" spans="1:7" ht="12.75" customHeight="1" thickTop="1">
      <c r="A463" s="1797" t="s">
        <v>275</v>
      </c>
      <c r="B463" s="1799" t="s">
        <v>295</v>
      </c>
      <c r="C463" s="1799" t="s">
        <v>276</v>
      </c>
      <c r="D463" s="1799" t="s">
        <v>277</v>
      </c>
      <c r="E463" s="1801" t="s">
        <v>278</v>
      </c>
      <c r="F463" s="916" t="s">
        <v>279</v>
      </c>
      <c r="G463" s="916" t="s">
        <v>280</v>
      </c>
    </row>
    <row r="464" spans="1:7" ht="12.75" customHeight="1">
      <c r="A464" s="1798"/>
      <c r="B464" s="1800"/>
      <c r="C464" s="1800"/>
      <c r="D464" s="1800"/>
      <c r="E464" s="1802"/>
      <c r="F464" s="917" t="s">
        <v>67</v>
      </c>
      <c r="G464" s="917" t="s">
        <v>67</v>
      </c>
    </row>
    <row r="465" spans="1:7" ht="12.75" customHeight="1">
      <c r="A465" s="918" t="s">
        <v>68</v>
      </c>
      <c r="B465" s="919" t="s">
        <v>298</v>
      </c>
      <c r="C465" s="920"/>
      <c r="D465" s="920"/>
      <c r="E465" s="921"/>
      <c r="F465" s="922"/>
      <c r="G465" s="922"/>
    </row>
    <row r="466" spans="1:7" ht="12.75" customHeight="1">
      <c r="A466" s="918"/>
      <c r="B466" s="923" t="s">
        <v>69</v>
      </c>
      <c r="C466" s="924" t="s">
        <v>70</v>
      </c>
      <c r="D466" s="924" t="s">
        <v>71</v>
      </c>
      <c r="E466" s="1155">
        <v>0.1</v>
      </c>
      <c r="F466" s="926">
        <f>Upah!$F$26</f>
        <v>130000</v>
      </c>
      <c r="G466" s="926">
        <f>+F466*E466</f>
        <v>13000</v>
      </c>
    </row>
    <row r="467" spans="1:7" ht="12.75" customHeight="1">
      <c r="A467" s="918"/>
      <c r="B467" s="923" t="s">
        <v>57</v>
      </c>
      <c r="C467" s="993" t="s">
        <v>72</v>
      </c>
      <c r="D467" s="993" t="s">
        <v>71</v>
      </c>
      <c r="E467" s="1155">
        <v>0.2</v>
      </c>
      <c r="F467" s="995">
        <f>Upah!$F$18</f>
        <v>140000</v>
      </c>
      <c r="G467" s="926">
        <f t="shared" ref="G467:G468" si="41">+F467*E467</f>
        <v>28000</v>
      </c>
    </row>
    <row r="468" spans="1:7" ht="12.75" customHeight="1">
      <c r="A468" s="918"/>
      <c r="B468" s="923" t="s">
        <v>73</v>
      </c>
      <c r="C468" s="993" t="s">
        <v>74</v>
      </c>
      <c r="D468" s="993" t="s">
        <v>71</v>
      </c>
      <c r="E468" s="1155">
        <v>0.02</v>
      </c>
      <c r="F468" s="995">
        <f>Upah!$F$10</f>
        <v>150000</v>
      </c>
      <c r="G468" s="926">
        <f t="shared" si="41"/>
        <v>3000</v>
      </c>
    </row>
    <row r="469" spans="1:7" ht="12.75" customHeight="1">
      <c r="A469" s="918"/>
      <c r="B469" s="923" t="s">
        <v>50</v>
      </c>
      <c r="C469" s="927" t="s">
        <v>75</v>
      </c>
      <c r="D469" s="927" t="s">
        <v>71</v>
      </c>
      <c r="E469" s="1156">
        <v>6.7000000000000002E-3</v>
      </c>
      <c r="F469" s="929">
        <f>Upah!$F$8</f>
        <v>170000</v>
      </c>
      <c r="G469" s="929">
        <f>+F469*E469</f>
        <v>1139</v>
      </c>
    </row>
    <row r="470" spans="1:7" ht="12.75" customHeight="1">
      <c r="A470" s="918"/>
      <c r="B470" s="930"/>
      <c r="C470" s="931" t="s">
        <v>632</v>
      </c>
      <c r="D470" s="932"/>
      <c r="E470" s="933"/>
      <c r="F470" s="934"/>
      <c r="G470" s="935">
        <f>SUM(G466:G469)</f>
        <v>45139</v>
      </c>
    </row>
    <row r="471" spans="1:7" ht="12.75" customHeight="1">
      <c r="A471" s="918" t="s">
        <v>77</v>
      </c>
      <c r="B471" s="945" t="s">
        <v>299</v>
      </c>
      <c r="C471" s="946"/>
      <c r="D471" s="946"/>
      <c r="E471" s="947"/>
      <c r="F471" s="948"/>
      <c r="G471" s="948"/>
    </row>
    <row r="472" spans="1:7" ht="12.75" customHeight="1">
      <c r="A472" s="1043"/>
      <c r="B472" s="1157" t="s">
        <v>220</v>
      </c>
      <c r="C472" s="1158"/>
      <c r="D472" s="1158" t="s">
        <v>270</v>
      </c>
      <c r="E472" s="1159">
        <v>1.0800000000000001E-2</v>
      </c>
      <c r="F472" s="1160">
        <f>Bahan!$E$194</f>
        <v>10000000</v>
      </c>
      <c r="G472" s="1160">
        <f t="shared" ref="G472:G473" si="42">+F472*E472</f>
        <v>108000</v>
      </c>
    </row>
    <row r="473" spans="1:7" ht="12.75" customHeight="1">
      <c r="A473" s="1161"/>
      <c r="B473" s="1157" t="s">
        <v>360</v>
      </c>
      <c r="C473" s="1162"/>
      <c r="D473" s="1162" t="s">
        <v>268</v>
      </c>
      <c r="E473" s="1163">
        <v>0.1</v>
      </c>
      <c r="F473" s="1160">
        <f>Bahan!E233</f>
        <v>20000</v>
      </c>
      <c r="G473" s="1160">
        <f t="shared" si="42"/>
        <v>2000</v>
      </c>
    </row>
    <row r="474" spans="1:7" ht="12.75" customHeight="1">
      <c r="A474" s="918"/>
      <c r="B474" s="930"/>
      <c r="C474" s="940" t="s">
        <v>642</v>
      </c>
      <c r="D474" s="941"/>
      <c r="E474" s="942"/>
      <c r="F474" s="943"/>
      <c r="G474" s="944">
        <f>SUM(G472:G473)</f>
        <v>110000</v>
      </c>
    </row>
    <row r="475" spans="1:7" ht="12.75" customHeight="1">
      <c r="A475" s="918" t="s">
        <v>80</v>
      </c>
      <c r="B475" s="919" t="s">
        <v>250</v>
      </c>
      <c r="C475" s="937"/>
      <c r="D475" s="946"/>
      <c r="E475" s="947"/>
      <c r="F475" s="948"/>
      <c r="G475" s="926">
        <v>0</v>
      </c>
    </row>
    <row r="476" spans="1:7" ht="12.75" customHeight="1">
      <c r="A476" s="960"/>
      <c r="B476" s="961"/>
      <c r="C476" s="962" t="s">
        <v>287</v>
      </c>
      <c r="D476" s="941"/>
      <c r="E476" s="942"/>
      <c r="F476" s="943"/>
      <c r="G476" s="944">
        <v>0</v>
      </c>
    </row>
    <row r="477" spans="1:7" ht="12.75" customHeight="1">
      <c r="A477" s="963" t="s">
        <v>83</v>
      </c>
      <c r="B477" s="964" t="s">
        <v>292</v>
      </c>
      <c r="C477" s="965"/>
      <c r="D477" s="915"/>
      <c r="E477" s="966"/>
      <c r="F477" s="967"/>
      <c r="G477" s="968">
        <f>+G476+G474+G470</f>
        <v>155139</v>
      </c>
    </row>
    <row r="478" spans="1:7" ht="12.75" customHeight="1">
      <c r="A478" s="963" t="s">
        <v>84</v>
      </c>
      <c r="B478" s="969" t="s">
        <v>293</v>
      </c>
      <c r="C478" s="912"/>
      <c r="D478" s="915"/>
      <c r="E478" s="970">
        <f>$I$2</f>
        <v>0.1</v>
      </c>
      <c r="F478" s="967"/>
      <c r="G478" s="968">
        <f>+G477*E478</f>
        <v>15513.900000000001</v>
      </c>
    </row>
    <row r="479" spans="1:7" ht="12.75" customHeight="1" thickBot="1">
      <c r="A479" s="971" t="s">
        <v>85</v>
      </c>
      <c r="B479" s="972" t="s">
        <v>86</v>
      </c>
      <c r="C479" s="973"/>
      <c r="D479" s="973"/>
      <c r="E479" s="974"/>
      <c r="F479" s="975"/>
      <c r="G479" s="976">
        <f>+G478+G477</f>
        <v>170652.9</v>
      </c>
    </row>
    <row r="480" spans="1:7" ht="8.25" customHeight="1" thickTop="1"/>
    <row r="481" spans="1:7" s="413" customFormat="1" ht="12.75" customHeight="1" thickBot="1">
      <c r="A481" s="10" t="s">
        <v>362</v>
      </c>
      <c r="B481" s="10"/>
      <c r="C481" s="10"/>
      <c r="D481" s="10"/>
      <c r="E481" s="1004"/>
      <c r="F481" s="10"/>
      <c r="G481" s="46"/>
    </row>
    <row r="482" spans="1:7" s="413" customFormat="1" ht="12.75" customHeight="1" thickTop="1">
      <c r="A482" s="1797" t="s">
        <v>275</v>
      </c>
      <c r="B482" s="1799" t="s">
        <v>295</v>
      </c>
      <c r="C482" s="1799" t="s">
        <v>276</v>
      </c>
      <c r="D482" s="1799" t="s">
        <v>277</v>
      </c>
      <c r="E482" s="1801" t="s">
        <v>278</v>
      </c>
      <c r="F482" s="916" t="s">
        <v>279</v>
      </c>
      <c r="G482" s="916" t="s">
        <v>280</v>
      </c>
    </row>
    <row r="483" spans="1:7" s="413" customFormat="1" ht="12.75" customHeight="1">
      <c r="A483" s="1798"/>
      <c r="B483" s="1800"/>
      <c r="C483" s="1800"/>
      <c r="D483" s="1800"/>
      <c r="E483" s="1802"/>
      <c r="F483" s="917" t="s">
        <v>67</v>
      </c>
      <c r="G483" s="917" t="s">
        <v>67</v>
      </c>
    </row>
    <row r="484" spans="1:7" s="413" customFormat="1" ht="12.75" customHeight="1">
      <c r="A484" s="918" t="s">
        <v>68</v>
      </c>
      <c r="B484" s="919" t="s">
        <v>298</v>
      </c>
      <c r="C484" s="920"/>
      <c r="D484" s="920"/>
      <c r="E484" s="921"/>
      <c r="F484" s="922"/>
      <c r="G484" s="922"/>
    </row>
    <row r="485" spans="1:7" s="413" customFormat="1" ht="12.75" customHeight="1">
      <c r="A485" s="918"/>
      <c r="B485" s="923" t="s">
        <v>69</v>
      </c>
      <c r="C485" s="924" t="s">
        <v>70</v>
      </c>
      <c r="D485" s="924" t="s">
        <v>71</v>
      </c>
      <c r="E485" s="1155">
        <v>0.1</v>
      </c>
      <c r="F485" s="926">
        <f>Upah!$F$26</f>
        <v>130000</v>
      </c>
      <c r="G485" s="926">
        <f>+F485*E485</f>
        <v>13000</v>
      </c>
    </row>
    <row r="486" spans="1:7" s="413" customFormat="1" ht="12.75" customHeight="1">
      <c r="A486" s="918"/>
      <c r="B486" s="923" t="s">
        <v>59</v>
      </c>
      <c r="C486" s="993" t="s">
        <v>72</v>
      </c>
      <c r="D486" s="993" t="s">
        <v>71</v>
      </c>
      <c r="E486" s="1155">
        <v>0.2</v>
      </c>
      <c r="F486" s="995">
        <f>Upah!$F$18</f>
        <v>140000</v>
      </c>
      <c r="G486" s="926">
        <f t="shared" ref="G486:G487" si="43">+F486*E486</f>
        <v>28000</v>
      </c>
    </row>
    <row r="487" spans="1:7" s="413" customFormat="1" ht="12.75" customHeight="1">
      <c r="A487" s="918"/>
      <c r="B487" s="923" t="s">
        <v>73</v>
      </c>
      <c r="C487" s="993" t="s">
        <v>74</v>
      </c>
      <c r="D487" s="993" t="s">
        <v>71</v>
      </c>
      <c r="E487" s="1155">
        <v>0.02</v>
      </c>
      <c r="F487" s="995">
        <f>Upah!$F$10</f>
        <v>150000</v>
      </c>
      <c r="G487" s="926">
        <f t="shared" si="43"/>
        <v>3000</v>
      </c>
    </row>
    <row r="488" spans="1:7" s="413" customFormat="1" ht="12.75" customHeight="1">
      <c r="A488" s="918"/>
      <c r="B488" s="923" t="s">
        <v>50</v>
      </c>
      <c r="C488" s="927" t="s">
        <v>75</v>
      </c>
      <c r="D488" s="927" t="s">
        <v>71</v>
      </c>
      <c r="E488" s="1156">
        <v>6.7000000000000002E-3</v>
      </c>
      <c r="F488" s="929">
        <f>Upah!$F$8</f>
        <v>170000</v>
      </c>
      <c r="G488" s="929">
        <f>+F488*E488</f>
        <v>1139</v>
      </c>
    </row>
    <row r="489" spans="1:7" s="413" customFormat="1" ht="12.75" customHeight="1">
      <c r="A489" s="918"/>
      <c r="B489" s="930"/>
      <c r="C489" s="931" t="s">
        <v>632</v>
      </c>
      <c r="D489" s="932"/>
      <c r="E489" s="933"/>
      <c r="F489" s="934"/>
      <c r="G489" s="935">
        <f>SUM(G485:G488)</f>
        <v>45139</v>
      </c>
    </row>
    <row r="490" spans="1:7" s="413" customFormat="1" ht="12.75" customHeight="1">
      <c r="A490" s="918" t="s">
        <v>77</v>
      </c>
      <c r="B490" s="945" t="s">
        <v>299</v>
      </c>
      <c r="C490" s="946"/>
      <c r="D490" s="946"/>
      <c r="E490" s="947"/>
      <c r="F490" s="948"/>
      <c r="G490" s="948"/>
    </row>
    <row r="491" spans="1:7" s="413" customFormat="1" ht="12.75" customHeight="1">
      <c r="A491" s="1043"/>
      <c r="B491" s="1157" t="s">
        <v>220</v>
      </c>
      <c r="C491" s="1158"/>
      <c r="D491" s="1158" t="s">
        <v>270</v>
      </c>
      <c r="E491" s="1159">
        <v>1.0999999999999999E-2</v>
      </c>
      <c r="F491" s="1160">
        <f>Bahan!$E$194</f>
        <v>10000000</v>
      </c>
      <c r="G491" s="1160">
        <f t="shared" ref="G491" si="44">+F491*E491</f>
        <v>110000</v>
      </c>
    </row>
    <row r="492" spans="1:7" s="413" customFormat="1" ht="12.75" customHeight="1">
      <c r="A492" s="1161"/>
      <c r="B492" s="1157" t="s">
        <v>360</v>
      </c>
      <c r="C492" s="1162"/>
      <c r="D492" s="1162" t="s">
        <v>268</v>
      </c>
      <c r="E492" s="1163">
        <v>0.05</v>
      </c>
      <c r="F492" s="1160">
        <f>F473</f>
        <v>20000</v>
      </c>
      <c r="G492" s="1160">
        <f t="shared" ref="G492" si="45">+F492*E492</f>
        <v>1000</v>
      </c>
    </row>
    <row r="493" spans="1:7" s="413" customFormat="1" ht="12.75" customHeight="1">
      <c r="A493" s="918"/>
      <c r="B493" s="930"/>
      <c r="C493" s="940" t="s">
        <v>642</v>
      </c>
      <c r="D493" s="941"/>
      <c r="E493" s="942"/>
      <c r="F493" s="943"/>
      <c r="G493" s="944">
        <f>SUM(G491:G492)</f>
        <v>111000</v>
      </c>
    </row>
    <row r="494" spans="1:7" s="413" customFormat="1" ht="12.75" customHeight="1">
      <c r="A494" s="918" t="s">
        <v>80</v>
      </c>
      <c r="B494" s="919" t="s">
        <v>250</v>
      </c>
      <c r="C494" s="937"/>
      <c r="D494" s="946"/>
      <c r="E494" s="947"/>
      <c r="F494" s="948"/>
      <c r="G494" s="926">
        <v>0</v>
      </c>
    </row>
    <row r="495" spans="1:7" s="413" customFormat="1" ht="12.75" customHeight="1">
      <c r="A495" s="960"/>
      <c r="B495" s="961"/>
      <c r="C495" s="962" t="s">
        <v>287</v>
      </c>
      <c r="D495" s="941"/>
      <c r="E495" s="942"/>
      <c r="F495" s="943"/>
      <c r="G495" s="944">
        <v>0</v>
      </c>
    </row>
    <row r="496" spans="1:7" s="413" customFormat="1" ht="12.75" customHeight="1">
      <c r="A496" s="963" t="s">
        <v>83</v>
      </c>
      <c r="B496" s="964" t="s">
        <v>292</v>
      </c>
      <c r="C496" s="965"/>
      <c r="D496" s="915"/>
      <c r="E496" s="966"/>
      <c r="F496" s="967"/>
      <c r="G496" s="968">
        <f>+G495+G493+G489</f>
        <v>156139</v>
      </c>
    </row>
    <row r="497" spans="1:7" s="413" customFormat="1" ht="12.75" customHeight="1">
      <c r="A497" s="963" t="s">
        <v>84</v>
      </c>
      <c r="B497" s="969" t="s">
        <v>293</v>
      </c>
      <c r="C497" s="912"/>
      <c r="D497" s="915"/>
      <c r="E497" s="970">
        <f>$I$2</f>
        <v>0.1</v>
      </c>
      <c r="F497" s="967"/>
      <c r="G497" s="968">
        <f>+G496*E497</f>
        <v>15613.900000000001</v>
      </c>
    </row>
    <row r="498" spans="1:7" s="413" customFormat="1" ht="12.75" customHeight="1" thickBot="1">
      <c r="A498" s="971" t="s">
        <v>85</v>
      </c>
      <c r="B498" s="972" t="s">
        <v>86</v>
      </c>
      <c r="C498" s="973"/>
      <c r="D498" s="973"/>
      <c r="E498" s="974"/>
      <c r="F498" s="975"/>
      <c r="G498" s="976">
        <f>+G497+G496</f>
        <v>171752.9</v>
      </c>
    </row>
    <row r="499" spans="1:7" ht="9" customHeight="1" thickTop="1"/>
    <row r="500" spans="1:7" ht="12.75" customHeight="1">
      <c r="A500" s="10" t="s">
        <v>361</v>
      </c>
    </row>
    <row r="501" spans="1:7" ht="12.75" customHeight="1" thickBot="1">
      <c r="A501" s="10" t="s">
        <v>397</v>
      </c>
    </row>
    <row r="502" spans="1:7" ht="12.75" customHeight="1" thickTop="1">
      <c r="A502" s="1797" t="s">
        <v>275</v>
      </c>
      <c r="B502" s="1799" t="s">
        <v>295</v>
      </c>
      <c r="C502" s="1799" t="s">
        <v>276</v>
      </c>
      <c r="D502" s="1799" t="s">
        <v>277</v>
      </c>
      <c r="E502" s="1801" t="s">
        <v>278</v>
      </c>
      <c r="F502" s="916" t="s">
        <v>279</v>
      </c>
      <c r="G502" s="916" t="s">
        <v>280</v>
      </c>
    </row>
    <row r="503" spans="1:7" ht="12.75" customHeight="1">
      <c r="A503" s="1798"/>
      <c r="B503" s="1800"/>
      <c r="C503" s="1800"/>
      <c r="D503" s="1800"/>
      <c r="E503" s="1802"/>
      <c r="F503" s="917" t="s">
        <v>67</v>
      </c>
      <c r="G503" s="917" t="s">
        <v>67</v>
      </c>
    </row>
    <row r="504" spans="1:7" ht="12.75" customHeight="1">
      <c r="A504" s="918" t="s">
        <v>68</v>
      </c>
      <c r="B504" s="919" t="s">
        <v>298</v>
      </c>
      <c r="C504" s="920"/>
      <c r="D504" s="920"/>
      <c r="E504" s="921"/>
      <c r="F504" s="922"/>
      <c r="G504" s="922"/>
    </row>
    <row r="505" spans="1:7" ht="12.75" customHeight="1">
      <c r="A505" s="918"/>
      <c r="B505" s="923" t="s">
        <v>69</v>
      </c>
      <c r="C505" s="924" t="s">
        <v>70</v>
      </c>
      <c r="D505" s="924" t="s">
        <v>71</v>
      </c>
      <c r="E505" s="1155">
        <v>0.16</v>
      </c>
      <c r="F505" s="926">
        <f>Upah!$F$26</f>
        <v>130000</v>
      </c>
      <c r="G505" s="926">
        <f>+F505*E505</f>
        <v>20800</v>
      </c>
    </row>
    <row r="506" spans="1:7" ht="12.75" customHeight="1">
      <c r="A506" s="918"/>
      <c r="B506" s="1164" t="s">
        <v>59</v>
      </c>
      <c r="C506" s="993" t="s">
        <v>72</v>
      </c>
      <c r="D506" s="993" t="s">
        <v>71</v>
      </c>
      <c r="E506" s="1155">
        <v>7.5300000000000006E-2</v>
      </c>
      <c r="F506" s="995">
        <f>Upah!$F$20</f>
        <v>140000</v>
      </c>
      <c r="G506" s="926">
        <f t="shared" ref="G506:G507" si="46">+F506*E506</f>
        <v>10542</v>
      </c>
    </row>
    <row r="507" spans="1:7" ht="12.75" customHeight="1">
      <c r="A507" s="918"/>
      <c r="B507" s="923" t="s">
        <v>73</v>
      </c>
      <c r="C507" s="993" t="s">
        <v>74</v>
      </c>
      <c r="D507" s="993" t="s">
        <v>71</v>
      </c>
      <c r="E507" s="1155">
        <v>6.3E-3</v>
      </c>
      <c r="F507" s="995">
        <f>Upah!$F$10</f>
        <v>150000</v>
      </c>
      <c r="G507" s="926">
        <f t="shared" si="46"/>
        <v>945</v>
      </c>
    </row>
    <row r="508" spans="1:7" ht="12.75" customHeight="1">
      <c r="A508" s="918"/>
      <c r="B508" s="923" t="s">
        <v>50</v>
      </c>
      <c r="C508" s="927" t="s">
        <v>75</v>
      </c>
      <c r="D508" s="927" t="s">
        <v>71</v>
      </c>
      <c r="E508" s="1156">
        <v>3.0000000000000001E-3</v>
      </c>
      <c r="F508" s="929">
        <f>Upah!$F$8</f>
        <v>170000</v>
      </c>
      <c r="G508" s="929">
        <f>+F508*E508</f>
        <v>510</v>
      </c>
    </row>
    <row r="509" spans="1:7" ht="12.75" customHeight="1">
      <c r="A509" s="918"/>
      <c r="B509" s="930"/>
      <c r="C509" s="931" t="s">
        <v>632</v>
      </c>
      <c r="D509" s="932"/>
      <c r="E509" s="933"/>
      <c r="F509" s="934"/>
      <c r="G509" s="935">
        <f>SUM(G505:G508)</f>
        <v>32797</v>
      </c>
    </row>
    <row r="510" spans="1:7" ht="12.75" customHeight="1">
      <c r="A510" s="918" t="s">
        <v>77</v>
      </c>
      <c r="B510" s="945" t="s">
        <v>299</v>
      </c>
      <c r="C510" s="946"/>
      <c r="D510" s="946"/>
      <c r="E510" s="947"/>
      <c r="F510" s="948"/>
      <c r="G510" s="948"/>
    </row>
    <row r="511" spans="1:7" ht="12.75" customHeight="1">
      <c r="A511" s="1043"/>
      <c r="B511" s="1157" t="s">
        <v>363</v>
      </c>
      <c r="C511" s="1158"/>
      <c r="D511" s="1158" t="s">
        <v>14</v>
      </c>
      <c r="E511" s="1159">
        <v>0.1</v>
      </c>
      <c r="F511" s="1160">
        <f>Bahan!E152</f>
        <v>32500</v>
      </c>
      <c r="G511" s="1160">
        <f t="shared" ref="G511:G513" si="47">+F511*E511</f>
        <v>3250</v>
      </c>
    </row>
    <row r="512" spans="1:7" s="36" customFormat="1" ht="12.75" customHeight="1">
      <c r="A512" s="1161"/>
      <c r="B512" s="1157" t="s">
        <v>364</v>
      </c>
      <c r="C512" s="1162"/>
      <c r="D512" s="1162" t="s">
        <v>14</v>
      </c>
      <c r="E512" s="1163">
        <v>0.26</v>
      </c>
      <c r="F512" s="1160">
        <f>Bahan!E166</f>
        <v>75000</v>
      </c>
      <c r="G512" s="1160">
        <f t="shared" ref="G512" si="48">+F512*E512</f>
        <v>19500</v>
      </c>
    </row>
    <row r="513" spans="1:7" ht="12.75" customHeight="1">
      <c r="A513" s="1161"/>
      <c r="B513" s="1157" t="s">
        <v>23</v>
      </c>
      <c r="C513" s="1162"/>
      <c r="D513" s="1162" t="s">
        <v>7</v>
      </c>
      <c r="E513" s="1163">
        <v>0.01</v>
      </c>
      <c r="F513" s="1160">
        <f>Bahan!E154</f>
        <v>10000</v>
      </c>
      <c r="G513" s="1160">
        <f t="shared" si="47"/>
        <v>100</v>
      </c>
    </row>
    <row r="514" spans="1:7" ht="12.75" customHeight="1">
      <c r="A514" s="918"/>
      <c r="B514" s="930"/>
      <c r="C514" s="940" t="s">
        <v>642</v>
      </c>
      <c r="D514" s="941"/>
      <c r="E514" s="942"/>
      <c r="F514" s="943"/>
      <c r="G514" s="944">
        <f>SUM(G511:G513)</f>
        <v>22850</v>
      </c>
    </row>
    <row r="515" spans="1:7" ht="12.75" customHeight="1">
      <c r="A515" s="918" t="s">
        <v>80</v>
      </c>
      <c r="B515" s="919" t="s">
        <v>250</v>
      </c>
      <c r="C515" s="937"/>
      <c r="D515" s="946"/>
      <c r="E515" s="947"/>
      <c r="F515" s="948"/>
      <c r="G515" s="926">
        <v>0</v>
      </c>
    </row>
    <row r="516" spans="1:7" ht="12.75" customHeight="1">
      <c r="A516" s="960"/>
      <c r="B516" s="961"/>
      <c r="C516" s="962" t="s">
        <v>287</v>
      </c>
      <c r="D516" s="941"/>
      <c r="E516" s="942"/>
      <c r="F516" s="943"/>
      <c r="G516" s="944">
        <v>0</v>
      </c>
    </row>
    <row r="517" spans="1:7" ht="12.75" customHeight="1">
      <c r="A517" s="963" t="s">
        <v>83</v>
      </c>
      <c r="B517" s="964" t="s">
        <v>292</v>
      </c>
      <c r="C517" s="965"/>
      <c r="D517" s="915"/>
      <c r="E517" s="966"/>
      <c r="F517" s="967"/>
      <c r="G517" s="968">
        <f>+G516+G514+G509</f>
        <v>55647</v>
      </c>
    </row>
    <row r="518" spans="1:7" ht="12.75" customHeight="1">
      <c r="A518" s="963" t="s">
        <v>84</v>
      </c>
      <c r="B518" s="969" t="s">
        <v>293</v>
      </c>
      <c r="C518" s="912"/>
      <c r="D518" s="915"/>
      <c r="E518" s="970">
        <f>$I$2</f>
        <v>0.1</v>
      </c>
      <c r="F518" s="967"/>
      <c r="G518" s="968">
        <f>+G517*E518</f>
        <v>5564.7000000000007</v>
      </c>
    </row>
    <row r="519" spans="1:7" ht="12.75" customHeight="1" thickBot="1">
      <c r="A519" s="971" t="s">
        <v>85</v>
      </c>
      <c r="B519" s="972" t="s">
        <v>86</v>
      </c>
      <c r="C519" s="973"/>
      <c r="D519" s="973"/>
      <c r="E519" s="974"/>
      <c r="F519" s="975"/>
      <c r="G519" s="976">
        <f>+G518+G517</f>
        <v>61211.7</v>
      </c>
    </row>
    <row r="520" spans="1:7" ht="9" customHeight="1" thickTop="1"/>
    <row r="521" spans="1:7" s="413" customFormat="1" ht="12.75" customHeight="1">
      <c r="A521" s="10" t="s">
        <v>365</v>
      </c>
      <c r="B521" s="10"/>
      <c r="C521" s="10"/>
      <c r="D521" s="10"/>
      <c r="E521" s="1004"/>
      <c r="F521" s="10"/>
      <c r="G521" s="46"/>
    </row>
    <row r="522" spans="1:7" s="413" customFormat="1" ht="12.75" customHeight="1" thickBot="1">
      <c r="A522" s="10" t="s">
        <v>366</v>
      </c>
      <c r="B522" s="10"/>
      <c r="C522" s="10"/>
      <c r="D522" s="10"/>
      <c r="E522" s="1004"/>
      <c r="F522" s="10"/>
      <c r="G522" s="46"/>
    </row>
    <row r="523" spans="1:7" s="413" customFormat="1" ht="12.75" customHeight="1" thickTop="1">
      <c r="A523" s="1797" t="s">
        <v>275</v>
      </c>
      <c r="B523" s="1799" t="s">
        <v>295</v>
      </c>
      <c r="C523" s="1799" t="s">
        <v>276</v>
      </c>
      <c r="D523" s="1799" t="s">
        <v>277</v>
      </c>
      <c r="E523" s="1801" t="s">
        <v>278</v>
      </c>
      <c r="F523" s="916" t="s">
        <v>279</v>
      </c>
      <c r="G523" s="916" t="s">
        <v>280</v>
      </c>
    </row>
    <row r="524" spans="1:7" s="413" customFormat="1" ht="12.75" customHeight="1">
      <c r="A524" s="1798"/>
      <c r="B524" s="1800"/>
      <c r="C524" s="1800"/>
      <c r="D524" s="1800"/>
      <c r="E524" s="1802"/>
      <c r="F524" s="917" t="s">
        <v>67</v>
      </c>
      <c r="G524" s="917" t="s">
        <v>67</v>
      </c>
    </row>
    <row r="525" spans="1:7" s="413" customFormat="1" ht="12.75" customHeight="1">
      <c r="A525" s="918" t="s">
        <v>68</v>
      </c>
      <c r="B525" s="919" t="s">
        <v>298</v>
      </c>
      <c r="C525" s="920"/>
      <c r="D525" s="920"/>
      <c r="E525" s="921"/>
      <c r="F525" s="922"/>
      <c r="G525" s="922"/>
    </row>
    <row r="526" spans="1:7" s="413" customFormat="1" ht="12.75" customHeight="1">
      <c r="A526" s="918"/>
      <c r="B526" s="923" t="s">
        <v>69</v>
      </c>
      <c r="C526" s="924" t="s">
        <v>70</v>
      </c>
      <c r="D526" s="924" t="s">
        <v>71</v>
      </c>
      <c r="E526" s="1155">
        <v>0.1</v>
      </c>
      <c r="F526" s="926">
        <f>Upah!$F$26</f>
        <v>130000</v>
      </c>
      <c r="G526" s="926">
        <f>+F526*E526</f>
        <v>13000</v>
      </c>
    </row>
    <row r="527" spans="1:7" s="413" customFormat="1" ht="12.75" customHeight="1">
      <c r="A527" s="918"/>
      <c r="B527" s="1164" t="s">
        <v>57</v>
      </c>
      <c r="C527" s="993" t="s">
        <v>72</v>
      </c>
      <c r="D527" s="993" t="s">
        <v>71</v>
      </c>
      <c r="E527" s="1155">
        <v>0.05</v>
      </c>
      <c r="F527" s="995">
        <f>Upah!$F$18</f>
        <v>140000</v>
      </c>
      <c r="G527" s="926">
        <f t="shared" ref="G527:G528" si="49">+F527*E527</f>
        <v>7000</v>
      </c>
    </row>
    <row r="528" spans="1:7" s="413" customFormat="1" ht="12.75" customHeight="1">
      <c r="A528" s="918"/>
      <c r="B528" s="923" t="s">
        <v>73</v>
      </c>
      <c r="C528" s="993" t="s">
        <v>74</v>
      </c>
      <c r="D528" s="993" t="s">
        <v>71</v>
      </c>
      <c r="E528" s="1155">
        <v>5.0000000000000001E-3</v>
      </c>
      <c r="F528" s="995">
        <f>Upah!$F$10</f>
        <v>150000</v>
      </c>
      <c r="G528" s="926">
        <f t="shared" si="49"/>
        <v>750</v>
      </c>
    </row>
    <row r="529" spans="1:7" s="413" customFormat="1" ht="12.75" customHeight="1">
      <c r="A529" s="918"/>
      <c r="B529" s="923" t="s">
        <v>50</v>
      </c>
      <c r="C529" s="927" t="s">
        <v>75</v>
      </c>
      <c r="D529" s="927" t="s">
        <v>71</v>
      </c>
      <c r="E529" s="1156">
        <v>1.6999999999999999E-3</v>
      </c>
      <c r="F529" s="929">
        <f>Upah!$F$8</f>
        <v>170000</v>
      </c>
      <c r="G529" s="929">
        <f>+F529*E529</f>
        <v>289</v>
      </c>
    </row>
    <row r="530" spans="1:7" s="413" customFormat="1" ht="12.75" customHeight="1">
      <c r="A530" s="918"/>
      <c r="B530" s="930"/>
      <c r="C530" s="931" t="s">
        <v>632</v>
      </c>
      <c r="D530" s="932"/>
      <c r="E530" s="933"/>
      <c r="F530" s="934"/>
      <c r="G530" s="935">
        <f>SUM(G526:G529)</f>
        <v>21039</v>
      </c>
    </row>
    <row r="531" spans="1:7" s="413" customFormat="1" ht="12.75" customHeight="1">
      <c r="A531" s="918" t="s">
        <v>77</v>
      </c>
      <c r="B531" s="945" t="s">
        <v>299</v>
      </c>
      <c r="C531" s="946"/>
      <c r="D531" s="946"/>
      <c r="E531" s="947"/>
      <c r="F531" s="948"/>
      <c r="G531" s="948"/>
    </row>
    <row r="532" spans="1:7" s="413" customFormat="1" ht="12.75" customHeight="1">
      <c r="A532" s="1043"/>
      <c r="B532" s="1157" t="s">
        <v>367</v>
      </c>
      <c r="C532" s="1158"/>
      <c r="D532" s="1158" t="s">
        <v>265</v>
      </c>
      <c r="E532" s="1159">
        <v>0.36399999999999999</v>
      </c>
      <c r="F532" s="1160">
        <f>Bahan!E250</f>
        <v>66000</v>
      </c>
      <c r="G532" s="1160">
        <f t="shared" ref="G532:G533" si="50">+F532*E532</f>
        <v>24024</v>
      </c>
    </row>
    <row r="533" spans="1:7" s="413" customFormat="1" ht="12.75" customHeight="1">
      <c r="A533" s="1161"/>
      <c r="B533" s="1157" t="s">
        <v>269</v>
      </c>
      <c r="C533" s="1162"/>
      <c r="D533" s="1162" t="s">
        <v>268</v>
      </c>
      <c r="E533" s="1163">
        <v>0.11</v>
      </c>
      <c r="F533" s="1160">
        <f>Bahan!E239</f>
        <v>37000</v>
      </c>
      <c r="G533" s="1160">
        <f t="shared" si="50"/>
        <v>4070</v>
      </c>
    </row>
    <row r="534" spans="1:7" s="413" customFormat="1" ht="12.75" customHeight="1">
      <c r="A534" s="918"/>
      <c r="B534" s="930"/>
      <c r="C534" s="940" t="s">
        <v>642</v>
      </c>
      <c r="D534" s="941"/>
      <c r="E534" s="942"/>
      <c r="F534" s="943"/>
      <c r="G534" s="944">
        <f>SUM(G532:G533)</f>
        <v>28094</v>
      </c>
    </row>
    <row r="535" spans="1:7" s="413" customFormat="1" ht="12.75" customHeight="1">
      <c r="A535" s="918" t="s">
        <v>80</v>
      </c>
      <c r="B535" s="919" t="s">
        <v>250</v>
      </c>
      <c r="C535" s="937"/>
      <c r="D535" s="946"/>
      <c r="E535" s="947"/>
      <c r="F535" s="948"/>
      <c r="G535" s="926">
        <v>0</v>
      </c>
    </row>
    <row r="536" spans="1:7" s="413" customFormat="1" ht="12.75" customHeight="1">
      <c r="A536" s="960"/>
      <c r="B536" s="961"/>
      <c r="C536" s="962" t="s">
        <v>287</v>
      </c>
      <c r="D536" s="941"/>
      <c r="E536" s="942"/>
      <c r="F536" s="943"/>
      <c r="G536" s="944">
        <v>0</v>
      </c>
    </row>
    <row r="537" spans="1:7" s="413" customFormat="1" ht="12.75" customHeight="1">
      <c r="A537" s="963" t="s">
        <v>83</v>
      </c>
      <c r="B537" s="964" t="s">
        <v>292</v>
      </c>
      <c r="C537" s="965"/>
      <c r="D537" s="915"/>
      <c r="E537" s="966"/>
      <c r="F537" s="967"/>
      <c r="G537" s="968">
        <f>+G536+G534+G530</f>
        <v>49133</v>
      </c>
    </row>
    <row r="538" spans="1:7" s="413" customFormat="1" ht="12.75" customHeight="1">
      <c r="A538" s="963" t="s">
        <v>84</v>
      </c>
      <c r="B538" s="969" t="s">
        <v>293</v>
      </c>
      <c r="C538" s="912"/>
      <c r="D538" s="915"/>
      <c r="E538" s="970">
        <f>$I$2</f>
        <v>0.1</v>
      </c>
      <c r="F538" s="967"/>
      <c r="G538" s="968">
        <f>+G537*E538</f>
        <v>4913.3</v>
      </c>
    </row>
    <row r="539" spans="1:7" s="413" customFormat="1" ht="12.75" customHeight="1" thickBot="1">
      <c r="A539" s="971" t="s">
        <v>85</v>
      </c>
      <c r="B539" s="972" t="s">
        <v>86</v>
      </c>
      <c r="C539" s="973"/>
      <c r="D539" s="973"/>
      <c r="E539" s="974"/>
      <c r="F539" s="975"/>
      <c r="G539" s="976">
        <f>+G538+G537</f>
        <v>54046.3</v>
      </c>
    </row>
    <row r="540" spans="1:7" ht="9.75" customHeight="1" thickTop="1"/>
    <row r="541" spans="1:7" s="111" customFormat="1" ht="12.75" customHeight="1" thickBot="1">
      <c r="A541" s="10" t="s">
        <v>747</v>
      </c>
      <c r="B541" s="10"/>
      <c r="C541" s="10"/>
      <c r="D541" s="10"/>
      <c r="E541" s="1004"/>
      <c r="F541" s="10"/>
      <c r="G541" s="46"/>
    </row>
    <row r="542" spans="1:7" s="111" customFormat="1" ht="12.75" customHeight="1" thickTop="1">
      <c r="A542" s="1797" t="s">
        <v>275</v>
      </c>
      <c r="B542" s="1799" t="s">
        <v>295</v>
      </c>
      <c r="C542" s="1799" t="s">
        <v>276</v>
      </c>
      <c r="D542" s="1799" t="s">
        <v>277</v>
      </c>
      <c r="E542" s="1801" t="s">
        <v>278</v>
      </c>
      <c r="F542" s="916" t="s">
        <v>279</v>
      </c>
      <c r="G542" s="916" t="s">
        <v>280</v>
      </c>
    </row>
    <row r="543" spans="1:7" s="111" customFormat="1" ht="12.75" customHeight="1">
      <c r="A543" s="1798"/>
      <c r="B543" s="1800"/>
      <c r="C543" s="1800"/>
      <c r="D543" s="1800"/>
      <c r="E543" s="1802"/>
      <c r="F543" s="917" t="s">
        <v>67</v>
      </c>
      <c r="G543" s="917" t="s">
        <v>67</v>
      </c>
    </row>
    <row r="544" spans="1:7" s="111" customFormat="1" ht="12.75" customHeight="1">
      <c r="A544" s="918" t="s">
        <v>68</v>
      </c>
      <c r="B544" s="919" t="s">
        <v>298</v>
      </c>
      <c r="C544" s="920"/>
      <c r="D544" s="920"/>
      <c r="E544" s="921"/>
      <c r="F544" s="922"/>
      <c r="G544" s="922"/>
    </row>
    <row r="545" spans="1:7" s="111" customFormat="1" ht="12.75" customHeight="1">
      <c r="A545" s="918"/>
      <c r="B545" s="923" t="s">
        <v>69</v>
      </c>
      <c r="C545" s="924" t="s">
        <v>70</v>
      </c>
      <c r="D545" s="924" t="s">
        <v>71</v>
      </c>
      <c r="E545" s="1155">
        <v>0.1</v>
      </c>
      <c r="F545" s="926">
        <f>Upah!$F$26</f>
        <v>130000</v>
      </c>
      <c r="G545" s="926">
        <f>+F545*E545</f>
        <v>13000</v>
      </c>
    </row>
    <row r="546" spans="1:7" s="111" customFormat="1" ht="12.75" customHeight="1">
      <c r="A546" s="918"/>
      <c r="B546" s="1164" t="s">
        <v>57</v>
      </c>
      <c r="C546" s="993" t="s">
        <v>72</v>
      </c>
      <c r="D546" s="993" t="s">
        <v>71</v>
      </c>
      <c r="E546" s="1155">
        <v>0.05</v>
      </c>
      <c r="F546" s="995">
        <f>Upah!$F$18</f>
        <v>140000</v>
      </c>
      <c r="G546" s="926">
        <f t="shared" ref="G546:G547" si="51">+F546*E546</f>
        <v>7000</v>
      </c>
    </row>
    <row r="547" spans="1:7" s="111" customFormat="1" ht="12.75" customHeight="1">
      <c r="A547" s="918"/>
      <c r="B547" s="923" t="s">
        <v>73</v>
      </c>
      <c r="C547" s="993" t="s">
        <v>74</v>
      </c>
      <c r="D547" s="993" t="s">
        <v>71</v>
      </c>
      <c r="E547" s="1155">
        <v>5.0000000000000001E-3</v>
      </c>
      <c r="F547" s="995">
        <f>Upah!$F$10</f>
        <v>150000</v>
      </c>
      <c r="G547" s="926">
        <f t="shared" si="51"/>
        <v>750</v>
      </c>
    </row>
    <row r="548" spans="1:7" s="111" customFormat="1" ht="12.75" customHeight="1">
      <c r="A548" s="918"/>
      <c r="B548" s="923" t="s">
        <v>50</v>
      </c>
      <c r="C548" s="927" t="s">
        <v>75</v>
      </c>
      <c r="D548" s="927" t="s">
        <v>71</v>
      </c>
      <c r="E548" s="1156">
        <v>1.6999999999999999E-3</v>
      </c>
      <c r="F548" s="929">
        <f>Upah!$F$8</f>
        <v>170000</v>
      </c>
      <c r="G548" s="929">
        <f>+F548*E548</f>
        <v>289</v>
      </c>
    </row>
    <row r="549" spans="1:7" s="111" customFormat="1" ht="12.75" customHeight="1">
      <c r="A549" s="918"/>
      <c r="B549" s="930"/>
      <c r="C549" s="931" t="s">
        <v>632</v>
      </c>
      <c r="D549" s="932"/>
      <c r="E549" s="933"/>
      <c r="F549" s="934"/>
      <c r="G549" s="935">
        <f>SUM(G545:G548)</f>
        <v>21039</v>
      </c>
    </row>
    <row r="550" spans="1:7" s="111" customFormat="1" ht="12.75" customHeight="1">
      <c r="A550" s="918" t="s">
        <v>77</v>
      </c>
      <c r="B550" s="945" t="s">
        <v>299</v>
      </c>
      <c r="C550" s="946"/>
      <c r="D550" s="946"/>
      <c r="E550" s="947"/>
      <c r="F550" s="948"/>
      <c r="G550" s="948"/>
    </row>
    <row r="551" spans="1:7" s="111" customFormat="1" ht="12.75" customHeight="1">
      <c r="A551" s="1043"/>
      <c r="B551" s="1157" t="s">
        <v>41</v>
      </c>
      <c r="C551" s="1158"/>
      <c r="D551" s="1158" t="s">
        <v>265</v>
      </c>
      <c r="E551" s="1159">
        <v>0.36399999999999999</v>
      </c>
      <c r="F551" s="1160">
        <f>Bahan!E253</f>
        <v>105000</v>
      </c>
      <c r="G551" s="1160">
        <f t="shared" ref="G551:G552" si="52">+F551*E551</f>
        <v>38220</v>
      </c>
    </row>
    <row r="552" spans="1:7" s="111" customFormat="1" ht="12.75" customHeight="1">
      <c r="A552" s="1161"/>
      <c r="B552" s="1157" t="s">
        <v>269</v>
      </c>
      <c r="C552" s="1162"/>
      <c r="D552" s="1162" t="s">
        <v>268</v>
      </c>
      <c r="E552" s="1163">
        <v>0.11</v>
      </c>
      <c r="F552" s="1160">
        <f>F533</f>
        <v>37000</v>
      </c>
      <c r="G552" s="1160">
        <f t="shared" si="52"/>
        <v>4070</v>
      </c>
    </row>
    <row r="553" spans="1:7" s="111" customFormat="1" ht="12.75" customHeight="1">
      <c r="A553" s="918"/>
      <c r="B553" s="930"/>
      <c r="C553" s="940" t="s">
        <v>642</v>
      </c>
      <c r="D553" s="941"/>
      <c r="E553" s="942"/>
      <c r="F553" s="943"/>
      <c r="G553" s="944">
        <f>SUM(G551:G552)</f>
        <v>42290</v>
      </c>
    </row>
    <row r="554" spans="1:7" s="111" customFormat="1" ht="12.75" customHeight="1">
      <c r="A554" s="918" t="s">
        <v>80</v>
      </c>
      <c r="B554" s="919" t="s">
        <v>250</v>
      </c>
      <c r="C554" s="937"/>
      <c r="D554" s="946"/>
      <c r="E554" s="947"/>
      <c r="F554" s="948"/>
      <c r="G554" s="926">
        <v>0</v>
      </c>
    </row>
    <row r="555" spans="1:7" s="111" customFormat="1" ht="12.75" customHeight="1">
      <c r="A555" s="960"/>
      <c r="B555" s="961"/>
      <c r="C555" s="962" t="s">
        <v>287</v>
      </c>
      <c r="D555" s="941"/>
      <c r="E555" s="942"/>
      <c r="F555" s="943"/>
      <c r="G555" s="944">
        <v>0</v>
      </c>
    </row>
    <row r="556" spans="1:7" s="111" customFormat="1" ht="12.75" customHeight="1">
      <c r="A556" s="963" t="s">
        <v>83</v>
      </c>
      <c r="B556" s="964" t="s">
        <v>292</v>
      </c>
      <c r="C556" s="965"/>
      <c r="D556" s="915"/>
      <c r="E556" s="966"/>
      <c r="F556" s="967"/>
      <c r="G556" s="968">
        <f>+G555+G553+G549</f>
        <v>63329</v>
      </c>
    </row>
    <row r="557" spans="1:7" s="111" customFormat="1" ht="12.75" customHeight="1">
      <c r="A557" s="963" t="s">
        <v>84</v>
      </c>
      <c r="B557" s="969" t="s">
        <v>293</v>
      </c>
      <c r="C557" s="912"/>
      <c r="D557" s="915"/>
      <c r="E557" s="970">
        <f>$I$2</f>
        <v>0.1</v>
      </c>
      <c r="F557" s="967"/>
      <c r="G557" s="968">
        <f>+G556*E557</f>
        <v>6332.9000000000005</v>
      </c>
    </row>
    <row r="558" spans="1:7" s="111" customFormat="1" ht="12.75" customHeight="1" thickBot="1">
      <c r="A558" s="971" t="s">
        <v>85</v>
      </c>
      <c r="B558" s="972" t="s">
        <v>86</v>
      </c>
      <c r="C558" s="973"/>
      <c r="D558" s="973"/>
      <c r="E558" s="974"/>
      <c r="F558" s="975"/>
      <c r="G558" s="976">
        <f>+G557+G556</f>
        <v>69661.899999999994</v>
      </c>
    </row>
    <row r="559" spans="1:7" s="111" customFormat="1" ht="12.75" customHeight="1" thickTop="1">
      <c r="A559" s="10"/>
      <c r="B559" s="10"/>
      <c r="C559" s="10"/>
      <c r="D559" s="10"/>
      <c r="E559" s="1004"/>
      <c r="F559" s="10"/>
      <c r="G559" s="46"/>
    </row>
    <row r="560" spans="1:7" s="413" customFormat="1" ht="12.75" customHeight="1" thickBot="1">
      <c r="A560" s="10" t="s">
        <v>746</v>
      </c>
      <c r="B560" s="10"/>
      <c r="C560" s="10"/>
      <c r="D560" s="10"/>
      <c r="E560" s="1004"/>
      <c r="F560" s="10"/>
      <c r="G560" s="46"/>
    </row>
    <row r="561" spans="1:7" s="413" customFormat="1" ht="12.75" customHeight="1" thickTop="1">
      <c r="A561" s="1797" t="s">
        <v>275</v>
      </c>
      <c r="B561" s="1799" t="s">
        <v>295</v>
      </c>
      <c r="C561" s="1799" t="s">
        <v>276</v>
      </c>
      <c r="D561" s="1799" t="s">
        <v>277</v>
      </c>
      <c r="E561" s="1801" t="s">
        <v>278</v>
      </c>
      <c r="F561" s="916" t="s">
        <v>279</v>
      </c>
      <c r="G561" s="916" t="s">
        <v>280</v>
      </c>
    </row>
    <row r="562" spans="1:7" s="413" customFormat="1" ht="12.75" customHeight="1">
      <c r="A562" s="1798"/>
      <c r="B562" s="1800"/>
      <c r="C562" s="1800"/>
      <c r="D562" s="1800"/>
      <c r="E562" s="1802"/>
      <c r="F562" s="917" t="s">
        <v>67</v>
      </c>
      <c r="G562" s="917" t="s">
        <v>67</v>
      </c>
    </row>
    <row r="563" spans="1:7" s="413" customFormat="1" ht="12.75" customHeight="1">
      <c r="A563" s="918" t="s">
        <v>68</v>
      </c>
      <c r="B563" s="919" t="s">
        <v>298</v>
      </c>
      <c r="C563" s="920"/>
      <c r="D563" s="920"/>
      <c r="E563" s="921"/>
      <c r="F563" s="922"/>
      <c r="G563" s="922"/>
    </row>
    <row r="564" spans="1:7" s="413" customFormat="1" ht="12.75" customHeight="1">
      <c r="A564" s="918"/>
      <c r="B564" s="923" t="s">
        <v>69</v>
      </c>
      <c r="C564" s="924" t="s">
        <v>70</v>
      </c>
      <c r="D564" s="924" t="s">
        <v>71</v>
      </c>
      <c r="E564" s="1155">
        <v>0.1</v>
      </c>
      <c r="F564" s="926">
        <f>Upah!$F$26</f>
        <v>130000</v>
      </c>
      <c r="G564" s="926">
        <f>+F564*E564</f>
        <v>13000</v>
      </c>
    </row>
    <row r="565" spans="1:7" s="413" customFormat="1" ht="12.75" customHeight="1">
      <c r="A565" s="918"/>
      <c r="B565" s="1164" t="s">
        <v>57</v>
      </c>
      <c r="C565" s="993" t="s">
        <v>72</v>
      </c>
      <c r="D565" s="993" t="s">
        <v>71</v>
      </c>
      <c r="E565" s="1155">
        <v>0.05</v>
      </c>
      <c r="F565" s="995">
        <f>Upah!$F$18</f>
        <v>140000</v>
      </c>
      <c r="G565" s="926">
        <f t="shared" ref="G565:G566" si="53">+F565*E565</f>
        <v>7000</v>
      </c>
    </row>
    <row r="566" spans="1:7" s="413" customFormat="1" ht="12.75" customHeight="1">
      <c r="A566" s="918"/>
      <c r="B566" s="923" t="s">
        <v>73</v>
      </c>
      <c r="C566" s="993" t="s">
        <v>74</v>
      </c>
      <c r="D566" s="993" t="s">
        <v>71</v>
      </c>
      <c r="E566" s="1155">
        <v>5.0000000000000001E-3</v>
      </c>
      <c r="F566" s="995">
        <f>Upah!$F$10</f>
        <v>150000</v>
      </c>
      <c r="G566" s="926">
        <f t="shared" si="53"/>
        <v>750</v>
      </c>
    </row>
    <row r="567" spans="1:7" s="413" customFormat="1" ht="12.75" customHeight="1">
      <c r="A567" s="918"/>
      <c r="B567" s="923" t="s">
        <v>50</v>
      </c>
      <c r="C567" s="927" t="s">
        <v>75</v>
      </c>
      <c r="D567" s="927" t="s">
        <v>71</v>
      </c>
      <c r="E567" s="1156">
        <v>1.6999999999999999E-3</v>
      </c>
      <c r="F567" s="929">
        <f>Upah!$F$8</f>
        <v>170000</v>
      </c>
      <c r="G567" s="929">
        <f>+F567*E567</f>
        <v>289</v>
      </c>
    </row>
    <row r="568" spans="1:7" s="413" customFormat="1" ht="12.75" customHeight="1">
      <c r="A568" s="918"/>
      <c r="B568" s="930"/>
      <c r="C568" s="931" t="s">
        <v>632</v>
      </c>
      <c r="D568" s="932"/>
      <c r="E568" s="933"/>
      <c r="F568" s="934"/>
      <c r="G568" s="935">
        <f>SUM(G564:G567)</f>
        <v>21039</v>
      </c>
    </row>
    <row r="569" spans="1:7" s="413" customFormat="1" ht="12.75" customHeight="1">
      <c r="A569" s="918" t="s">
        <v>77</v>
      </c>
      <c r="B569" s="945" t="s">
        <v>299</v>
      </c>
      <c r="C569" s="946"/>
      <c r="D569" s="946"/>
      <c r="E569" s="947"/>
      <c r="F569" s="948"/>
      <c r="G569" s="948"/>
    </row>
    <row r="570" spans="1:7" s="413" customFormat="1" ht="12.75" customHeight="1">
      <c r="A570" s="1043"/>
      <c r="B570" s="1157" t="s">
        <v>748</v>
      </c>
      <c r="C570" s="1158"/>
      <c r="D570" s="1158" t="s">
        <v>265</v>
      </c>
      <c r="E570" s="1159">
        <v>0.36399999999999999</v>
      </c>
      <c r="F570" s="1160">
        <f>Bahan!E252</f>
        <v>145200</v>
      </c>
      <c r="G570" s="1160">
        <f t="shared" ref="G570:G571" si="54">+F570*E570</f>
        <v>52852.799999999996</v>
      </c>
    </row>
    <row r="571" spans="1:7" s="413" customFormat="1" ht="12.75" customHeight="1">
      <c r="A571" s="1161"/>
      <c r="B571" s="1157" t="s">
        <v>269</v>
      </c>
      <c r="C571" s="1162"/>
      <c r="D571" s="1162" t="s">
        <v>268</v>
      </c>
      <c r="E571" s="1163">
        <v>0.11</v>
      </c>
      <c r="F571" s="1160">
        <f>F533</f>
        <v>37000</v>
      </c>
      <c r="G571" s="1160">
        <f t="shared" si="54"/>
        <v>4070</v>
      </c>
    </row>
    <row r="572" spans="1:7" s="413" customFormat="1" ht="12.75" customHeight="1">
      <c r="A572" s="918"/>
      <c r="B572" s="930"/>
      <c r="C572" s="940" t="s">
        <v>642</v>
      </c>
      <c r="D572" s="941"/>
      <c r="E572" s="942"/>
      <c r="F572" s="943"/>
      <c r="G572" s="944">
        <f>SUM(G570:G571)</f>
        <v>56922.799999999996</v>
      </c>
    </row>
    <row r="573" spans="1:7" s="413" customFormat="1" ht="12.75" customHeight="1">
      <c r="A573" s="918" t="s">
        <v>80</v>
      </c>
      <c r="B573" s="919" t="s">
        <v>250</v>
      </c>
      <c r="C573" s="937"/>
      <c r="D573" s="946"/>
      <c r="E573" s="947"/>
      <c r="F573" s="948"/>
      <c r="G573" s="926">
        <v>0</v>
      </c>
    </row>
    <row r="574" spans="1:7" s="413" customFormat="1" ht="12.75" customHeight="1">
      <c r="A574" s="960"/>
      <c r="B574" s="961"/>
      <c r="C574" s="962" t="s">
        <v>287</v>
      </c>
      <c r="D574" s="941"/>
      <c r="E574" s="942"/>
      <c r="F574" s="943"/>
      <c r="G574" s="944">
        <v>0</v>
      </c>
    </row>
    <row r="575" spans="1:7" s="413" customFormat="1" ht="12.75" customHeight="1">
      <c r="A575" s="963" t="s">
        <v>83</v>
      </c>
      <c r="B575" s="964" t="s">
        <v>292</v>
      </c>
      <c r="C575" s="965"/>
      <c r="D575" s="915"/>
      <c r="E575" s="966"/>
      <c r="F575" s="967"/>
      <c r="G575" s="968">
        <f>+G574+G572+G568</f>
        <v>77961.799999999988</v>
      </c>
    </row>
    <row r="576" spans="1:7" s="413" customFormat="1" ht="12.75" customHeight="1">
      <c r="A576" s="963" t="s">
        <v>84</v>
      </c>
      <c r="B576" s="969" t="s">
        <v>293</v>
      </c>
      <c r="C576" s="912"/>
      <c r="D576" s="915"/>
      <c r="E576" s="970">
        <f>$I$2</f>
        <v>0.1</v>
      </c>
      <c r="F576" s="967"/>
      <c r="G576" s="968">
        <f>+G575*E576</f>
        <v>7796.1799999999994</v>
      </c>
    </row>
    <row r="577" spans="1:7" ht="12.75" customHeight="1" thickBot="1">
      <c r="A577" s="971" t="s">
        <v>85</v>
      </c>
      <c r="B577" s="972" t="s">
        <v>86</v>
      </c>
      <c r="C577" s="973"/>
      <c r="D577" s="973"/>
      <c r="E577" s="974"/>
      <c r="F577" s="975"/>
      <c r="G577" s="976">
        <f>+G576+G575</f>
        <v>85757.979999999981</v>
      </c>
    </row>
    <row r="578" spans="1:7" ht="12.75" customHeight="1" thickTop="1"/>
    <row r="579" spans="1:7" s="413" customFormat="1" ht="12.75" customHeight="1" thickBot="1">
      <c r="A579" s="10" t="s">
        <v>391</v>
      </c>
      <c r="B579" s="10"/>
      <c r="C579" s="10"/>
      <c r="D579" s="10"/>
      <c r="E579" s="1004"/>
      <c r="F579" s="10"/>
      <c r="G579" s="46"/>
    </row>
    <row r="580" spans="1:7" s="413" customFormat="1" ht="12.75" customHeight="1" thickTop="1">
      <c r="A580" s="1797" t="s">
        <v>275</v>
      </c>
      <c r="B580" s="1799" t="s">
        <v>295</v>
      </c>
      <c r="C580" s="1799" t="s">
        <v>276</v>
      </c>
      <c r="D580" s="1799" t="s">
        <v>277</v>
      </c>
      <c r="E580" s="1801" t="s">
        <v>278</v>
      </c>
      <c r="F580" s="916" t="s">
        <v>279</v>
      </c>
      <c r="G580" s="916" t="s">
        <v>280</v>
      </c>
    </row>
    <row r="581" spans="1:7" s="413" customFormat="1" ht="12.75" customHeight="1">
      <c r="A581" s="1798"/>
      <c r="B581" s="1800"/>
      <c r="C581" s="1800"/>
      <c r="D581" s="1800"/>
      <c r="E581" s="1802"/>
      <c r="F581" s="917" t="s">
        <v>67</v>
      </c>
      <c r="G581" s="917" t="s">
        <v>67</v>
      </c>
    </row>
    <row r="582" spans="1:7" s="413" customFormat="1" ht="12.75" customHeight="1">
      <c r="A582" s="918" t="s">
        <v>68</v>
      </c>
      <c r="B582" s="919" t="s">
        <v>298</v>
      </c>
      <c r="C582" s="920"/>
      <c r="D582" s="920"/>
      <c r="E582" s="921"/>
      <c r="F582" s="922"/>
      <c r="G582" s="922"/>
    </row>
    <row r="583" spans="1:7" s="413" customFormat="1" ht="12.75" customHeight="1">
      <c r="A583" s="918"/>
      <c r="B583" s="923" t="s">
        <v>69</v>
      </c>
      <c r="C583" s="924" t="s">
        <v>70</v>
      </c>
      <c r="D583" s="924" t="s">
        <v>71</v>
      </c>
      <c r="E583" s="1155">
        <v>0.1</v>
      </c>
      <c r="F583" s="926">
        <f>Upah!$F$26</f>
        <v>130000</v>
      </c>
      <c r="G583" s="926">
        <f>+F583*E583</f>
        <v>13000</v>
      </c>
    </row>
    <row r="584" spans="1:7" s="413" customFormat="1" ht="12.75" customHeight="1">
      <c r="A584" s="918"/>
      <c r="B584" s="1164" t="s">
        <v>57</v>
      </c>
      <c r="C584" s="993" t="s">
        <v>72</v>
      </c>
      <c r="D584" s="993" t="s">
        <v>71</v>
      </c>
      <c r="E584" s="1155">
        <v>0.05</v>
      </c>
      <c r="F584" s="995">
        <f>Upah!$F$18</f>
        <v>140000</v>
      </c>
      <c r="G584" s="926">
        <f t="shared" ref="G584:G585" si="55">+F584*E584</f>
        <v>7000</v>
      </c>
    </row>
    <row r="585" spans="1:7" s="413" customFormat="1" ht="12.75" customHeight="1">
      <c r="A585" s="918"/>
      <c r="B585" s="923" t="s">
        <v>73</v>
      </c>
      <c r="C585" s="993" t="s">
        <v>74</v>
      </c>
      <c r="D585" s="993" t="s">
        <v>71</v>
      </c>
      <c r="E585" s="1155">
        <v>5.0000000000000001E-3</v>
      </c>
      <c r="F585" s="995">
        <f>Upah!$F$10</f>
        <v>150000</v>
      </c>
      <c r="G585" s="926">
        <f t="shared" si="55"/>
        <v>750</v>
      </c>
    </row>
    <row r="586" spans="1:7" s="413" customFormat="1" ht="12.75" customHeight="1">
      <c r="A586" s="918"/>
      <c r="B586" s="923" t="s">
        <v>50</v>
      </c>
      <c r="C586" s="927" t="s">
        <v>75</v>
      </c>
      <c r="D586" s="927" t="s">
        <v>71</v>
      </c>
      <c r="E586" s="1156">
        <v>1.6999999999999999E-3</v>
      </c>
      <c r="F586" s="929">
        <f>Upah!$F$8</f>
        <v>170000</v>
      </c>
      <c r="G586" s="929">
        <f>+F586*E586</f>
        <v>289</v>
      </c>
    </row>
    <row r="587" spans="1:7" s="413" customFormat="1" ht="12.75" customHeight="1">
      <c r="A587" s="918"/>
      <c r="B587" s="930"/>
      <c r="C587" s="931" t="s">
        <v>632</v>
      </c>
      <c r="D587" s="932"/>
      <c r="E587" s="933"/>
      <c r="F587" s="934"/>
      <c r="G587" s="935">
        <f>SUM(G583:G586)</f>
        <v>21039</v>
      </c>
    </row>
    <row r="588" spans="1:7" s="413" customFormat="1" ht="12.75" customHeight="1">
      <c r="A588" s="918" t="s">
        <v>77</v>
      </c>
      <c r="B588" s="945" t="s">
        <v>299</v>
      </c>
      <c r="C588" s="946"/>
      <c r="D588" s="946"/>
      <c r="E588" s="947"/>
      <c r="F588" s="948"/>
      <c r="G588" s="948"/>
    </row>
    <row r="589" spans="1:7" s="413" customFormat="1" ht="12.75" customHeight="1">
      <c r="A589" s="1043"/>
      <c r="B589" s="1157" t="s">
        <v>736</v>
      </c>
      <c r="C589" s="1158"/>
      <c r="D589" s="1158" t="s">
        <v>21</v>
      </c>
      <c r="E589" s="1159">
        <v>1</v>
      </c>
      <c r="F589" s="1160">
        <f>Bahan!E260</f>
        <v>90400</v>
      </c>
      <c r="G589" s="1160">
        <f t="shared" ref="G589:G590" si="56">+F589*E589</f>
        <v>90400</v>
      </c>
    </row>
    <row r="590" spans="1:7" s="413" customFormat="1" ht="12.75" customHeight="1">
      <c r="A590" s="1161"/>
      <c r="B590" s="1157" t="s">
        <v>370</v>
      </c>
      <c r="C590" s="1162"/>
      <c r="D590" s="1162" t="s">
        <v>14</v>
      </c>
      <c r="E590" s="1163">
        <v>0.11</v>
      </c>
      <c r="F590" s="1160">
        <f>F571</f>
        <v>37000</v>
      </c>
      <c r="G590" s="1160">
        <f t="shared" si="56"/>
        <v>4070</v>
      </c>
    </row>
    <row r="591" spans="1:7" s="413" customFormat="1" ht="12.75" customHeight="1">
      <c r="A591" s="918"/>
      <c r="B591" s="930"/>
      <c r="C591" s="940" t="s">
        <v>642</v>
      </c>
      <c r="D591" s="941"/>
      <c r="E591" s="942"/>
      <c r="F591" s="943"/>
      <c r="G591" s="944">
        <f>SUM(G589:G590)</f>
        <v>94470</v>
      </c>
    </row>
    <row r="592" spans="1:7" s="413" customFormat="1" ht="12.75" customHeight="1">
      <c r="A592" s="918" t="s">
        <v>80</v>
      </c>
      <c r="B592" s="919" t="s">
        <v>250</v>
      </c>
      <c r="C592" s="937"/>
      <c r="D592" s="946"/>
      <c r="E592" s="947"/>
      <c r="F592" s="948"/>
      <c r="G592" s="926">
        <v>0</v>
      </c>
    </row>
    <row r="593" spans="1:7" s="413" customFormat="1" ht="12.75" customHeight="1">
      <c r="A593" s="960"/>
      <c r="B593" s="961"/>
      <c r="C593" s="962" t="s">
        <v>287</v>
      </c>
      <c r="D593" s="941"/>
      <c r="E593" s="942"/>
      <c r="F593" s="943"/>
      <c r="G593" s="944">
        <v>0</v>
      </c>
    </row>
    <row r="594" spans="1:7" s="413" customFormat="1" ht="12.75" customHeight="1">
      <c r="A594" s="963" t="s">
        <v>83</v>
      </c>
      <c r="B594" s="964" t="s">
        <v>292</v>
      </c>
      <c r="C594" s="965"/>
      <c r="D594" s="915"/>
      <c r="E594" s="966"/>
      <c r="F594" s="967"/>
      <c r="G594" s="968">
        <f>+G593+G591+G587</f>
        <v>115509</v>
      </c>
    </row>
    <row r="595" spans="1:7" s="413" customFormat="1" ht="12.75" customHeight="1">
      <c r="A595" s="963" t="s">
        <v>84</v>
      </c>
      <c r="B595" s="969" t="s">
        <v>293</v>
      </c>
      <c r="C595" s="912"/>
      <c r="D595" s="915"/>
      <c r="E595" s="970">
        <f>$I$2</f>
        <v>0.1</v>
      </c>
      <c r="F595" s="967"/>
      <c r="G595" s="968">
        <f>+G594*E595</f>
        <v>11550.900000000001</v>
      </c>
    </row>
    <row r="596" spans="1:7" s="413" customFormat="1" ht="12.75" customHeight="1" thickBot="1">
      <c r="A596" s="971" t="s">
        <v>85</v>
      </c>
      <c r="B596" s="972" t="s">
        <v>86</v>
      </c>
      <c r="C596" s="973"/>
      <c r="D596" s="973"/>
      <c r="E596" s="974"/>
      <c r="F596" s="975"/>
      <c r="G596" s="976">
        <f>+G595+G594</f>
        <v>127059.9</v>
      </c>
    </row>
    <row r="597" spans="1:7" ht="12.75" customHeight="1" thickTop="1"/>
    <row r="598" spans="1:7" s="413" customFormat="1" ht="12.75" customHeight="1" thickBot="1">
      <c r="A598" s="10" t="s">
        <v>373</v>
      </c>
      <c r="B598" s="10"/>
      <c r="C598" s="10"/>
      <c r="D598" s="10"/>
      <c r="E598" s="1004"/>
      <c r="F598" s="10"/>
      <c r="G598" s="46"/>
    </row>
    <row r="599" spans="1:7" s="413" customFormat="1" ht="12.75" customHeight="1" thickTop="1">
      <c r="A599" s="1797" t="s">
        <v>275</v>
      </c>
      <c r="B599" s="1799" t="s">
        <v>295</v>
      </c>
      <c r="C599" s="1799" t="s">
        <v>276</v>
      </c>
      <c r="D599" s="1799" t="s">
        <v>277</v>
      </c>
      <c r="E599" s="1801" t="s">
        <v>278</v>
      </c>
      <c r="F599" s="916" t="s">
        <v>279</v>
      </c>
      <c r="G599" s="916" t="s">
        <v>280</v>
      </c>
    </row>
    <row r="600" spans="1:7" s="413" customFormat="1" ht="12.75" customHeight="1">
      <c r="A600" s="1798"/>
      <c r="B600" s="1800"/>
      <c r="C600" s="1800"/>
      <c r="D600" s="1800"/>
      <c r="E600" s="1802"/>
      <c r="F600" s="917" t="s">
        <v>67</v>
      </c>
      <c r="G600" s="917" t="s">
        <v>67</v>
      </c>
    </row>
    <row r="601" spans="1:7" s="413" customFormat="1" ht="12.75" customHeight="1">
      <c r="A601" s="918" t="s">
        <v>68</v>
      </c>
      <c r="B601" s="919" t="s">
        <v>298</v>
      </c>
      <c r="C601" s="920"/>
      <c r="D601" s="920"/>
      <c r="E601" s="921"/>
      <c r="F601" s="922"/>
      <c r="G601" s="922"/>
    </row>
    <row r="602" spans="1:7" s="413" customFormat="1" ht="12.75" customHeight="1">
      <c r="A602" s="918"/>
      <c r="B602" s="923" t="s">
        <v>69</v>
      </c>
      <c r="C602" s="924" t="s">
        <v>70</v>
      </c>
      <c r="D602" s="924" t="s">
        <v>71</v>
      </c>
      <c r="E602" s="1155">
        <v>2.5000000000000001E-2</v>
      </c>
      <c r="F602" s="926">
        <f>Upah!$F$26</f>
        <v>130000</v>
      </c>
      <c r="G602" s="926">
        <f>+F602*E602</f>
        <v>3250</v>
      </c>
    </row>
    <row r="603" spans="1:7" s="413" customFormat="1" ht="12.75" customHeight="1">
      <c r="A603" s="918"/>
      <c r="B603" s="1164" t="s">
        <v>57</v>
      </c>
      <c r="C603" s="993" t="s">
        <v>72</v>
      </c>
      <c r="D603" s="993" t="s">
        <v>71</v>
      </c>
      <c r="E603" s="1155">
        <v>2.5000000000000001E-2</v>
      </c>
      <c r="F603" s="995">
        <f>Upah!$F$18</f>
        <v>140000</v>
      </c>
      <c r="G603" s="926">
        <f t="shared" ref="G603:G604" si="57">+F603*E603</f>
        <v>3500</v>
      </c>
    </row>
    <row r="604" spans="1:7" s="413" customFormat="1" ht="12.75" customHeight="1">
      <c r="A604" s="918"/>
      <c r="B604" s="923" t="s">
        <v>73</v>
      </c>
      <c r="C604" s="993" t="s">
        <v>74</v>
      </c>
      <c r="D604" s="993" t="s">
        <v>71</v>
      </c>
      <c r="E604" s="1155">
        <v>2.5000000000000001E-3</v>
      </c>
      <c r="F604" s="995">
        <f>Upah!$F$10</f>
        <v>150000</v>
      </c>
      <c r="G604" s="926">
        <f t="shared" si="57"/>
        <v>375</v>
      </c>
    </row>
    <row r="605" spans="1:7" s="413" customFormat="1" ht="12.75" customHeight="1">
      <c r="A605" s="918"/>
      <c r="B605" s="923" t="s">
        <v>50</v>
      </c>
      <c r="C605" s="927" t="s">
        <v>75</v>
      </c>
      <c r="D605" s="927" t="s">
        <v>71</v>
      </c>
      <c r="E605" s="1156">
        <v>8.0000000000000004E-4</v>
      </c>
      <c r="F605" s="929">
        <f>Upah!$F$8</f>
        <v>170000</v>
      </c>
      <c r="G605" s="929">
        <f>+F605*E605</f>
        <v>136</v>
      </c>
    </row>
    <row r="606" spans="1:7" s="413" customFormat="1" ht="12.75" customHeight="1">
      <c r="A606" s="918"/>
      <c r="B606" s="930"/>
      <c r="C606" s="931" t="s">
        <v>632</v>
      </c>
      <c r="D606" s="932"/>
      <c r="E606" s="933"/>
      <c r="F606" s="934"/>
      <c r="G606" s="935">
        <f>SUM(G602:G605)</f>
        <v>7261</v>
      </c>
    </row>
    <row r="607" spans="1:7" s="413" customFormat="1" ht="12.75" customHeight="1">
      <c r="A607" s="918" t="s">
        <v>77</v>
      </c>
      <c r="B607" s="945" t="s">
        <v>299</v>
      </c>
      <c r="C607" s="946"/>
      <c r="D607" s="946"/>
      <c r="E607" s="947"/>
      <c r="F607" s="948"/>
      <c r="G607" s="948"/>
    </row>
    <row r="608" spans="1:7" s="413" customFormat="1" ht="12.75" customHeight="1">
      <c r="A608" s="1043"/>
      <c r="B608" s="1157" t="s">
        <v>371</v>
      </c>
      <c r="C608" s="1158"/>
      <c r="D608" s="1158" t="s">
        <v>372</v>
      </c>
      <c r="E608" s="1159">
        <v>1.1000000000000001</v>
      </c>
      <c r="F608" s="1160">
        <f>Bahan!E197</f>
        <v>20000</v>
      </c>
      <c r="G608" s="1160">
        <f t="shared" ref="G608:G609" si="58">+F608*E608</f>
        <v>22000</v>
      </c>
    </row>
    <row r="609" spans="1:7" s="413" customFormat="1" ht="12.75" customHeight="1">
      <c r="A609" s="1161"/>
      <c r="B609" s="1157" t="s">
        <v>92</v>
      </c>
      <c r="C609" s="1162"/>
      <c r="D609" s="1162" t="s">
        <v>268</v>
      </c>
      <c r="E609" s="1163">
        <v>0.01</v>
      </c>
      <c r="F609" s="1160">
        <f>F492</f>
        <v>20000</v>
      </c>
      <c r="G609" s="1160">
        <f t="shared" si="58"/>
        <v>200</v>
      </c>
    </row>
    <row r="610" spans="1:7" s="413" customFormat="1" ht="12.75" customHeight="1">
      <c r="A610" s="918"/>
      <c r="B610" s="930"/>
      <c r="C610" s="940" t="s">
        <v>642</v>
      </c>
      <c r="D610" s="941"/>
      <c r="E610" s="942"/>
      <c r="F610" s="943"/>
      <c r="G610" s="944">
        <f>SUM(G608:G609)</f>
        <v>22200</v>
      </c>
    </row>
    <row r="611" spans="1:7" s="413" customFormat="1" ht="12.75" customHeight="1">
      <c r="A611" s="918" t="s">
        <v>80</v>
      </c>
      <c r="B611" s="919" t="s">
        <v>250</v>
      </c>
      <c r="C611" s="937"/>
      <c r="D611" s="946"/>
      <c r="E611" s="947"/>
      <c r="F611" s="948"/>
      <c r="G611" s="926">
        <v>0</v>
      </c>
    </row>
    <row r="612" spans="1:7" s="413" customFormat="1" ht="12.75" customHeight="1">
      <c r="A612" s="960"/>
      <c r="B612" s="961"/>
      <c r="C612" s="962" t="s">
        <v>287</v>
      </c>
      <c r="D612" s="941"/>
      <c r="E612" s="942"/>
      <c r="F612" s="943"/>
      <c r="G612" s="944">
        <v>0</v>
      </c>
    </row>
    <row r="613" spans="1:7" s="413" customFormat="1" ht="12.75" customHeight="1">
      <c r="A613" s="963" t="s">
        <v>83</v>
      </c>
      <c r="B613" s="964" t="s">
        <v>292</v>
      </c>
      <c r="C613" s="965"/>
      <c r="D613" s="915"/>
      <c r="E613" s="966"/>
      <c r="F613" s="967"/>
      <c r="G613" s="968">
        <f>+G612+G610+G606</f>
        <v>29461</v>
      </c>
    </row>
    <row r="614" spans="1:7" s="413" customFormat="1" ht="12.75" customHeight="1">
      <c r="A614" s="963" t="s">
        <v>84</v>
      </c>
      <c r="B614" s="969" t="s">
        <v>293</v>
      </c>
      <c r="C614" s="912"/>
      <c r="D614" s="915"/>
      <c r="E614" s="970">
        <f>$I$2</f>
        <v>0.1</v>
      </c>
      <c r="F614" s="967"/>
      <c r="G614" s="968">
        <f>+G613*E614</f>
        <v>2946.1000000000004</v>
      </c>
    </row>
    <row r="615" spans="1:7" s="413" customFormat="1" ht="12.75" customHeight="1" thickBot="1">
      <c r="A615" s="971" t="s">
        <v>85</v>
      </c>
      <c r="B615" s="972" t="s">
        <v>86</v>
      </c>
      <c r="C615" s="973"/>
      <c r="D615" s="973"/>
      <c r="E615" s="974"/>
      <c r="F615" s="975"/>
      <c r="G615" s="976">
        <f>+G614+G613</f>
        <v>32407.1</v>
      </c>
    </row>
    <row r="616" spans="1:7" ht="15" thickTop="1"/>
    <row r="617" spans="1:7" s="111" customFormat="1">
      <c r="A617" s="10"/>
      <c r="B617" s="10"/>
      <c r="C617" s="10"/>
      <c r="D617" s="10"/>
      <c r="E617" s="1004"/>
      <c r="F617" s="10"/>
      <c r="G617" s="46"/>
    </row>
    <row r="618" spans="1:7" s="413" customFormat="1" ht="13.5" customHeight="1" thickBot="1">
      <c r="A618" s="10" t="s">
        <v>374</v>
      </c>
      <c r="B618" s="10"/>
      <c r="C618" s="10"/>
      <c r="D618" s="10"/>
      <c r="E618" s="1004"/>
      <c r="F618" s="10"/>
      <c r="G618" s="46"/>
    </row>
    <row r="619" spans="1:7" s="413" customFormat="1" ht="13.5" customHeight="1" thickTop="1">
      <c r="A619" s="1797" t="s">
        <v>275</v>
      </c>
      <c r="B619" s="1799" t="s">
        <v>295</v>
      </c>
      <c r="C619" s="1799" t="s">
        <v>276</v>
      </c>
      <c r="D619" s="1799" t="s">
        <v>277</v>
      </c>
      <c r="E619" s="1801" t="s">
        <v>278</v>
      </c>
      <c r="F619" s="916" t="s">
        <v>279</v>
      </c>
      <c r="G619" s="916" t="s">
        <v>280</v>
      </c>
    </row>
    <row r="620" spans="1:7" s="413" customFormat="1" ht="13.5" customHeight="1">
      <c r="A620" s="1798"/>
      <c r="B620" s="1800"/>
      <c r="C620" s="1800"/>
      <c r="D620" s="1800"/>
      <c r="E620" s="1802"/>
      <c r="F620" s="917" t="s">
        <v>67</v>
      </c>
      <c r="G620" s="917" t="s">
        <v>67</v>
      </c>
    </row>
    <row r="621" spans="1:7" s="413" customFormat="1" ht="13.5" customHeight="1">
      <c r="A621" s="918" t="s">
        <v>68</v>
      </c>
      <c r="B621" s="919" t="s">
        <v>298</v>
      </c>
      <c r="C621" s="920"/>
      <c r="D621" s="920"/>
      <c r="E621" s="921"/>
      <c r="F621" s="922"/>
      <c r="G621" s="922"/>
    </row>
    <row r="622" spans="1:7" s="413" customFormat="1" ht="13.5" customHeight="1">
      <c r="A622" s="918"/>
      <c r="B622" s="923" t="s">
        <v>69</v>
      </c>
      <c r="C622" s="924" t="s">
        <v>70</v>
      </c>
      <c r="D622" s="924" t="s">
        <v>71</v>
      </c>
      <c r="E622" s="1155">
        <v>2.5000000000000001E-2</v>
      </c>
      <c r="F622" s="926">
        <f>Upah!$F$26</f>
        <v>130000</v>
      </c>
      <c r="G622" s="926">
        <f>+F622*E622</f>
        <v>3250</v>
      </c>
    </row>
    <row r="623" spans="1:7" s="413" customFormat="1" ht="13.5" customHeight="1">
      <c r="A623" s="918"/>
      <c r="B623" s="1164" t="s">
        <v>57</v>
      </c>
      <c r="C623" s="993" t="s">
        <v>72</v>
      </c>
      <c r="D623" s="993" t="s">
        <v>71</v>
      </c>
      <c r="E623" s="1155">
        <v>2.5000000000000001E-2</v>
      </c>
      <c r="F623" s="995">
        <f>Upah!$F$18</f>
        <v>140000</v>
      </c>
      <c r="G623" s="926">
        <f t="shared" ref="G623:G624" si="59">+F623*E623</f>
        <v>3500</v>
      </c>
    </row>
    <row r="624" spans="1:7" s="413" customFormat="1" ht="13.5" customHeight="1">
      <c r="A624" s="918"/>
      <c r="B624" s="923" t="s">
        <v>73</v>
      </c>
      <c r="C624" s="993" t="s">
        <v>74</v>
      </c>
      <c r="D624" s="993" t="s">
        <v>71</v>
      </c>
      <c r="E624" s="1155">
        <v>2.5000000000000001E-3</v>
      </c>
      <c r="F624" s="995">
        <f>Upah!$F$10</f>
        <v>150000</v>
      </c>
      <c r="G624" s="926">
        <f t="shared" si="59"/>
        <v>375</v>
      </c>
    </row>
    <row r="625" spans="1:8" s="413" customFormat="1" ht="13.5" customHeight="1">
      <c r="A625" s="918"/>
      <c r="B625" s="923" t="s">
        <v>50</v>
      </c>
      <c r="C625" s="927" t="s">
        <v>75</v>
      </c>
      <c r="D625" s="927" t="s">
        <v>71</v>
      </c>
      <c r="E625" s="1156">
        <v>8.0000000000000004E-4</v>
      </c>
      <c r="F625" s="929">
        <f>Upah!$F$8</f>
        <v>170000</v>
      </c>
      <c r="G625" s="929">
        <f>+F625*E625</f>
        <v>136</v>
      </c>
    </row>
    <row r="626" spans="1:8" s="413" customFormat="1" ht="13.5" customHeight="1">
      <c r="A626" s="918"/>
      <c r="B626" s="930"/>
      <c r="C626" s="931" t="s">
        <v>632</v>
      </c>
      <c r="D626" s="932"/>
      <c r="E626" s="933"/>
      <c r="F626" s="934"/>
      <c r="G626" s="935">
        <f>SUM(G622:G625)</f>
        <v>7261</v>
      </c>
    </row>
    <row r="627" spans="1:8" s="413" customFormat="1" ht="13.5" customHeight="1">
      <c r="A627" s="918" t="s">
        <v>77</v>
      </c>
      <c r="B627" s="945" t="s">
        <v>299</v>
      </c>
      <c r="C627" s="946"/>
      <c r="D627" s="946"/>
      <c r="E627" s="947"/>
      <c r="F627" s="948"/>
      <c r="G627" s="948"/>
    </row>
    <row r="628" spans="1:8" s="413" customFormat="1" ht="13.5" customHeight="1">
      <c r="A628" s="1043"/>
      <c r="B628" s="1157" t="s">
        <v>629</v>
      </c>
      <c r="C628" s="1158"/>
      <c r="D628" s="1158" t="s">
        <v>372</v>
      </c>
      <c r="E628" s="1159">
        <v>1.1000000000000001</v>
      </c>
      <c r="F628" s="1160">
        <f>Bahan!E198</f>
        <v>14500</v>
      </c>
      <c r="G628" s="1160">
        <f t="shared" ref="G628:G629" si="60">+F628*E628</f>
        <v>15950.000000000002</v>
      </c>
    </row>
    <row r="629" spans="1:8" s="413" customFormat="1" ht="13.5" customHeight="1">
      <c r="A629" s="1161"/>
      <c r="B629" s="1157" t="s">
        <v>92</v>
      </c>
      <c r="C629" s="1162"/>
      <c r="D629" s="1162" t="s">
        <v>268</v>
      </c>
      <c r="E629" s="1163">
        <v>0.01</v>
      </c>
      <c r="F629" s="1160">
        <f>F609</f>
        <v>20000</v>
      </c>
      <c r="G629" s="1160">
        <f t="shared" si="60"/>
        <v>200</v>
      </c>
    </row>
    <row r="630" spans="1:8" s="413" customFormat="1" ht="13.5" customHeight="1">
      <c r="A630" s="918"/>
      <c r="B630" s="930"/>
      <c r="C630" s="940" t="s">
        <v>642</v>
      </c>
      <c r="D630" s="941"/>
      <c r="E630" s="942"/>
      <c r="F630" s="943"/>
      <c r="G630" s="944">
        <f>SUM(G628:G629)</f>
        <v>16150.000000000002</v>
      </c>
    </row>
    <row r="631" spans="1:8" s="413" customFormat="1" ht="13.5" customHeight="1">
      <c r="A631" s="918" t="s">
        <v>80</v>
      </c>
      <c r="B631" s="919" t="s">
        <v>250</v>
      </c>
      <c r="C631" s="937"/>
      <c r="D631" s="946"/>
      <c r="E631" s="947"/>
      <c r="F631" s="948"/>
      <c r="G631" s="926">
        <v>0</v>
      </c>
    </row>
    <row r="632" spans="1:8" s="413" customFormat="1" ht="13.5" customHeight="1">
      <c r="A632" s="960"/>
      <c r="B632" s="961"/>
      <c r="C632" s="962" t="s">
        <v>287</v>
      </c>
      <c r="D632" s="941"/>
      <c r="E632" s="942"/>
      <c r="F632" s="943"/>
      <c r="G632" s="944">
        <v>0</v>
      </c>
    </row>
    <row r="633" spans="1:8" s="413" customFormat="1" ht="13.5" customHeight="1">
      <c r="A633" s="963" t="s">
        <v>83</v>
      </c>
      <c r="B633" s="964" t="s">
        <v>292</v>
      </c>
      <c r="C633" s="965"/>
      <c r="D633" s="915"/>
      <c r="E633" s="966"/>
      <c r="F633" s="967"/>
      <c r="G633" s="968">
        <f>+G632+G630+G626</f>
        <v>23411</v>
      </c>
    </row>
    <row r="634" spans="1:8" s="413" customFormat="1" ht="13.5" customHeight="1">
      <c r="A634" s="963" t="s">
        <v>84</v>
      </c>
      <c r="B634" s="969" t="s">
        <v>293</v>
      </c>
      <c r="C634" s="912"/>
      <c r="D634" s="915"/>
      <c r="E634" s="970">
        <f>$I$2</f>
        <v>0.1</v>
      </c>
      <c r="F634" s="967"/>
      <c r="G634" s="968">
        <f>+G633*E634</f>
        <v>2341.1</v>
      </c>
    </row>
    <row r="635" spans="1:8" s="413" customFormat="1" ht="13.5" customHeight="1" thickBot="1">
      <c r="A635" s="971" t="s">
        <v>85</v>
      </c>
      <c r="B635" s="972" t="s">
        <v>86</v>
      </c>
      <c r="C635" s="973"/>
      <c r="D635" s="973"/>
      <c r="E635" s="974"/>
      <c r="F635" s="975"/>
      <c r="G635" s="976">
        <f>+G634+G633</f>
        <v>25752.1</v>
      </c>
    </row>
    <row r="636" spans="1:8" ht="13.5" customHeight="1" thickTop="1"/>
    <row r="637" spans="1:8" ht="13.5" customHeight="1">
      <c r="A637" s="10" t="s">
        <v>375</v>
      </c>
    </row>
    <row r="638" spans="1:8" ht="13.5" customHeight="1" thickBot="1">
      <c r="A638" s="10" t="s">
        <v>376</v>
      </c>
    </row>
    <row r="639" spans="1:8" ht="13.5" customHeight="1" thickTop="1">
      <c r="A639" s="1797" t="s">
        <v>275</v>
      </c>
      <c r="B639" s="1799" t="s">
        <v>295</v>
      </c>
      <c r="C639" s="1799" t="s">
        <v>276</v>
      </c>
      <c r="D639" s="1799" t="s">
        <v>277</v>
      </c>
      <c r="E639" s="1801" t="s">
        <v>278</v>
      </c>
      <c r="F639" s="916" t="s">
        <v>279</v>
      </c>
      <c r="G639" s="916" t="s">
        <v>280</v>
      </c>
      <c r="H639" s="38"/>
    </row>
    <row r="640" spans="1:8" ht="13.5" customHeight="1">
      <c r="A640" s="1798"/>
      <c r="B640" s="1800"/>
      <c r="C640" s="1800"/>
      <c r="D640" s="1800"/>
      <c r="E640" s="1802"/>
      <c r="F640" s="917" t="s">
        <v>67</v>
      </c>
      <c r="G640" s="917" t="s">
        <v>67</v>
      </c>
    </row>
    <row r="641" spans="1:7" ht="13.5" customHeight="1">
      <c r="A641" s="918" t="s">
        <v>68</v>
      </c>
      <c r="B641" s="919" t="s">
        <v>298</v>
      </c>
      <c r="C641" s="920"/>
      <c r="D641" s="920"/>
      <c r="E641" s="921"/>
      <c r="F641" s="922"/>
      <c r="G641" s="922"/>
    </row>
    <row r="642" spans="1:7" ht="13.5" customHeight="1">
      <c r="A642" s="918"/>
      <c r="B642" s="923" t="s">
        <v>69</v>
      </c>
      <c r="C642" s="924" t="s">
        <v>70</v>
      </c>
      <c r="D642" s="924" t="s">
        <v>71</v>
      </c>
      <c r="E642" s="1155">
        <v>0.35</v>
      </c>
      <c r="F642" s="926">
        <f>Upah!$F$26</f>
        <v>130000</v>
      </c>
      <c r="G642" s="926">
        <f>+F642*E642</f>
        <v>45500</v>
      </c>
    </row>
    <row r="643" spans="1:7" ht="13.5" customHeight="1">
      <c r="A643" s="918"/>
      <c r="B643" s="1164" t="s">
        <v>1054</v>
      </c>
      <c r="C643" s="993" t="s">
        <v>72</v>
      </c>
      <c r="D643" s="993" t="s">
        <v>71</v>
      </c>
      <c r="E643" s="1155">
        <v>0.35</v>
      </c>
      <c r="F643" s="995">
        <f>Upah!$F$19</f>
        <v>140000</v>
      </c>
      <c r="G643" s="926">
        <f t="shared" ref="G643" si="61">+F643*E643</f>
        <v>49000</v>
      </c>
    </row>
    <row r="644" spans="1:7" ht="13.5" customHeight="1">
      <c r="A644" s="918"/>
      <c r="B644" s="923" t="s">
        <v>73</v>
      </c>
      <c r="C644" s="993" t="s">
        <v>74</v>
      </c>
      <c r="D644" s="993" t="s">
        <v>71</v>
      </c>
      <c r="E644" s="1155">
        <v>3.5000000000000003E-2</v>
      </c>
      <c r="F644" s="995">
        <f>Upah!$F$10</f>
        <v>150000</v>
      </c>
      <c r="G644" s="926">
        <f t="shared" ref="G644" si="62">+F644*E644</f>
        <v>5250.0000000000009</v>
      </c>
    </row>
    <row r="645" spans="1:7" ht="13.5" customHeight="1">
      <c r="A645" s="918"/>
      <c r="B645" s="923" t="s">
        <v>50</v>
      </c>
      <c r="C645" s="927" t="s">
        <v>75</v>
      </c>
      <c r="D645" s="927" t="s">
        <v>71</v>
      </c>
      <c r="E645" s="1156">
        <v>1.17E-2</v>
      </c>
      <c r="F645" s="929">
        <f>Upah!$F$8</f>
        <v>170000</v>
      </c>
      <c r="G645" s="929">
        <f>+F645*E645</f>
        <v>1989</v>
      </c>
    </row>
    <row r="646" spans="1:7" ht="13.5" customHeight="1">
      <c r="A646" s="918"/>
      <c r="B646" s="930"/>
      <c r="C646" s="931" t="s">
        <v>632</v>
      </c>
      <c r="D646" s="932"/>
      <c r="E646" s="933"/>
      <c r="F646" s="934"/>
      <c r="G646" s="935">
        <f>SUM(G642:G645)</f>
        <v>101739</v>
      </c>
    </row>
    <row r="647" spans="1:7" ht="13.5" customHeight="1">
      <c r="A647" s="918" t="s">
        <v>77</v>
      </c>
      <c r="B647" s="945" t="s">
        <v>299</v>
      </c>
      <c r="C647" s="946"/>
      <c r="D647" s="946"/>
      <c r="E647" s="947"/>
      <c r="F647" s="948"/>
      <c r="G647" s="948"/>
    </row>
    <row r="648" spans="1:7" ht="13.5" customHeight="1">
      <c r="A648" s="1043"/>
      <c r="B648" s="1157" t="s">
        <v>377</v>
      </c>
      <c r="C648" s="1158"/>
      <c r="D648" s="1158" t="s">
        <v>372</v>
      </c>
      <c r="E648" s="1159">
        <v>4</v>
      </c>
      <c r="F648" s="1160">
        <f>Bahan!$E$259</f>
        <v>60000</v>
      </c>
      <c r="G648" s="1160">
        <f t="shared" ref="G648:G649" si="63">+F648*E648</f>
        <v>240000</v>
      </c>
    </row>
    <row r="649" spans="1:7" ht="13.5" customHeight="1">
      <c r="A649" s="1161"/>
      <c r="B649" s="1157" t="s">
        <v>378</v>
      </c>
      <c r="C649" s="1162"/>
      <c r="D649" s="1162" t="s">
        <v>268</v>
      </c>
      <c r="E649" s="1163">
        <v>0.05</v>
      </c>
      <c r="F649" s="1160">
        <f>Bahan!$E$132</f>
        <v>23600</v>
      </c>
      <c r="G649" s="1160">
        <f t="shared" si="63"/>
        <v>1180</v>
      </c>
    </row>
    <row r="650" spans="1:7" ht="13.5" customHeight="1">
      <c r="A650" s="918"/>
      <c r="B650" s="930"/>
      <c r="C650" s="940" t="s">
        <v>642</v>
      </c>
      <c r="D650" s="941"/>
      <c r="E650" s="942"/>
      <c r="F650" s="943"/>
      <c r="G650" s="944">
        <f>SUM(G648:G649)</f>
        <v>241180</v>
      </c>
    </row>
    <row r="651" spans="1:7" ht="13.5" customHeight="1">
      <c r="A651" s="918" t="s">
        <v>80</v>
      </c>
      <c r="B651" s="919" t="s">
        <v>250</v>
      </c>
      <c r="C651" s="937"/>
      <c r="D651" s="946"/>
      <c r="E651" s="947"/>
      <c r="F651" s="948"/>
      <c r="G651" s="926">
        <v>0</v>
      </c>
    </row>
    <row r="652" spans="1:7" ht="13.5" customHeight="1">
      <c r="A652" s="960"/>
      <c r="B652" s="961"/>
      <c r="C652" s="962" t="s">
        <v>287</v>
      </c>
      <c r="D652" s="941"/>
      <c r="E652" s="942"/>
      <c r="F652" s="943"/>
      <c r="G652" s="944">
        <v>0</v>
      </c>
    </row>
    <row r="653" spans="1:7" ht="13.5" customHeight="1">
      <c r="A653" s="963" t="s">
        <v>83</v>
      </c>
      <c r="B653" s="964" t="s">
        <v>292</v>
      </c>
      <c r="C653" s="965"/>
      <c r="D653" s="915"/>
      <c r="E653" s="966"/>
      <c r="F653" s="967"/>
      <c r="G653" s="968">
        <f>+G652+G650+G646</f>
        <v>342919</v>
      </c>
    </row>
    <row r="654" spans="1:7" ht="13.5" customHeight="1">
      <c r="A654" s="963" t="s">
        <v>84</v>
      </c>
      <c r="B654" s="969" t="s">
        <v>293</v>
      </c>
      <c r="C654" s="912"/>
      <c r="D654" s="915"/>
      <c r="E654" s="970">
        <f>$I$2</f>
        <v>0.1</v>
      </c>
      <c r="F654" s="967"/>
      <c r="G654" s="968">
        <f>+G653*E654</f>
        <v>34291.9</v>
      </c>
    </row>
    <row r="655" spans="1:7" ht="13.5" customHeight="1" thickBot="1">
      <c r="A655" s="971" t="s">
        <v>85</v>
      </c>
      <c r="B655" s="972" t="s">
        <v>86</v>
      </c>
      <c r="C655" s="973"/>
      <c r="D655" s="973"/>
      <c r="E655" s="974"/>
      <c r="F655" s="975"/>
      <c r="G655" s="976">
        <f>+G654+G653</f>
        <v>377210.9</v>
      </c>
    </row>
    <row r="656" spans="1:7" ht="13.5" customHeight="1" thickTop="1"/>
    <row r="657" spans="1:7" ht="13.5" customHeight="1" thickBot="1">
      <c r="A657" s="10" t="s">
        <v>589</v>
      </c>
    </row>
    <row r="658" spans="1:7" ht="13.5" customHeight="1" thickTop="1">
      <c r="A658" s="1797" t="s">
        <v>275</v>
      </c>
      <c r="B658" s="1799" t="s">
        <v>295</v>
      </c>
      <c r="C658" s="1799" t="s">
        <v>276</v>
      </c>
      <c r="D658" s="1799" t="s">
        <v>277</v>
      </c>
      <c r="E658" s="1801" t="s">
        <v>278</v>
      </c>
      <c r="F658" s="916" t="s">
        <v>279</v>
      </c>
      <c r="G658" s="916" t="s">
        <v>280</v>
      </c>
    </row>
    <row r="659" spans="1:7" ht="13.5" customHeight="1">
      <c r="A659" s="1798"/>
      <c r="B659" s="1800"/>
      <c r="C659" s="1800"/>
      <c r="D659" s="1800"/>
      <c r="E659" s="1802"/>
      <c r="F659" s="917" t="s">
        <v>67</v>
      </c>
      <c r="G659" s="917" t="s">
        <v>67</v>
      </c>
    </row>
    <row r="660" spans="1:7" ht="13.5" customHeight="1">
      <c r="A660" s="918" t="s">
        <v>68</v>
      </c>
      <c r="B660" s="919" t="s">
        <v>298</v>
      </c>
      <c r="C660" s="920"/>
      <c r="D660" s="920"/>
      <c r="E660" s="921"/>
      <c r="F660" s="922"/>
      <c r="G660" s="922"/>
    </row>
    <row r="661" spans="1:7" ht="13.5" customHeight="1">
      <c r="A661" s="918"/>
      <c r="B661" s="923" t="s">
        <v>69</v>
      </c>
      <c r="C661" s="924" t="s">
        <v>70</v>
      </c>
      <c r="D661" s="924" t="s">
        <v>71</v>
      </c>
      <c r="E661" s="1155">
        <v>0.35</v>
      </c>
      <c r="F661" s="926">
        <f>Upah!$F$26</f>
        <v>130000</v>
      </c>
      <c r="G661" s="926">
        <f>+F661*E661</f>
        <v>45500</v>
      </c>
    </row>
    <row r="662" spans="1:7" ht="13.5" customHeight="1">
      <c r="A662" s="918"/>
      <c r="B662" s="1164" t="s">
        <v>1054</v>
      </c>
      <c r="C662" s="993" t="s">
        <v>72</v>
      </c>
      <c r="D662" s="993" t="s">
        <v>71</v>
      </c>
      <c r="E662" s="1155">
        <v>0.35</v>
      </c>
      <c r="F662" s="995">
        <f>Upah!$F$19</f>
        <v>140000</v>
      </c>
      <c r="G662" s="926">
        <f t="shared" ref="G662:G663" si="64">+F662*E662</f>
        <v>49000</v>
      </c>
    </row>
    <row r="663" spans="1:7" ht="13.5" customHeight="1">
      <c r="A663" s="918"/>
      <c r="B663" s="923" t="s">
        <v>73</v>
      </c>
      <c r="C663" s="993" t="s">
        <v>74</v>
      </c>
      <c r="D663" s="993" t="s">
        <v>71</v>
      </c>
      <c r="E663" s="1155">
        <v>3.5000000000000003E-2</v>
      </c>
      <c r="F663" s="995">
        <f>Upah!$F$10</f>
        <v>150000</v>
      </c>
      <c r="G663" s="926">
        <f t="shared" si="64"/>
        <v>5250.0000000000009</v>
      </c>
    </row>
    <row r="664" spans="1:7" ht="13.5" customHeight="1">
      <c r="A664" s="918"/>
      <c r="B664" s="923" t="s">
        <v>50</v>
      </c>
      <c r="C664" s="927" t="s">
        <v>75</v>
      </c>
      <c r="D664" s="927" t="s">
        <v>71</v>
      </c>
      <c r="E664" s="1156">
        <v>1.7999999999999999E-2</v>
      </c>
      <c r="F664" s="929">
        <f>Upah!$F$8</f>
        <v>170000</v>
      </c>
      <c r="G664" s="929">
        <f>+F664*E664</f>
        <v>3059.9999999999995</v>
      </c>
    </row>
    <row r="665" spans="1:7" ht="13.5" customHeight="1">
      <c r="A665" s="918"/>
      <c r="B665" s="930"/>
      <c r="C665" s="931" t="s">
        <v>632</v>
      </c>
      <c r="D665" s="932"/>
      <c r="E665" s="933"/>
      <c r="F665" s="934"/>
      <c r="G665" s="935">
        <f>SUM(G661:G664)</f>
        <v>102810</v>
      </c>
    </row>
    <row r="666" spans="1:7" ht="13.5" customHeight="1">
      <c r="A666" s="918" t="s">
        <v>77</v>
      </c>
      <c r="B666" s="945" t="s">
        <v>299</v>
      </c>
      <c r="C666" s="946"/>
      <c r="D666" s="946"/>
      <c r="E666" s="947"/>
      <c r="F666" s="948"/>
      <c r="G666" s="948"/>
    </row>
    <row r="667" spans="1:7" ht="13.5" customHeight="1">
      <c r="A667" s="1043"/>
      <c r="B667" s="1165" t="s">
        <v>380</v>
      </c>
      <c r="C667" s="1158"/>
      <c r="D667" s="1158" t="s">
        <v>372</v>
      </c>
      <c r="E667" s="1159">
        <v>4</v>
      </c>
      <c r="F667" s="1160">
        <f>Bahan!$E$257/4</f>
        <v>8750</v>
      </c>
      <c r="G667" s="1160">
        <f t="shared" ref="G667" si="65">+F667*E667</f>
        <v>35000</v>
      </c>
    </row>
    <row r="668" spans="1:7" ht="13.5" customHeight="1">
      <c r="A668" s="1161"/>
      <c r="B668" s="1166" t="s">
        <v>93</v>
      </c>
      <c r="C668" s="1162"/>
      <c r="D668" s="1162" t="s">
        <v>91</v>
      </c>
      <c r="E668" s="1163" t="s">
        <v>381</v>
      </c>
      <c r="F668" s="1160">
        <f>G667</f>
        <v>35000</v>
      </c>
      <c r="G668" s="1160">
        <f>F668/10</f>
        <v>3500</v>
      </c>
    </row>
    <row r="669" spans="1:7" ht="13.5" customHeight="1">
      <c r="A669" s="918"/>
      <c r="B669" s="930"/>
      <c r="C669" s="940" t="s">
        <v>642</v>
      </c>
      <c r="D669" s="941"/>
      <c r="E669" s="942"/>
      <c r="F669" s="943"/>
      <c r="G669" s="944">
        <f>SUM(G667:G668)</f>
        <v>38500</v>
      </c>
    </row>
    <row r="670" spans="1:7" ht="13.5" customHeight="1">
      <c r="A670" s="918" t="s">
        <v>80</v>
      </c>
      <c r="B670" s="919" t="s">
        <v>250</v>
      </c>
      <c r="C670" s="937"/>
      <c r="D670" s="946"/>
      <c r="E670" s="947"/>
      <c r="F670" s="948"/>
      <c r="G670" s="926">
        <v>0</v>
      </c>
    </row>
    <row r="671" spans="1:7" ht="13.5" customHeight="1">
      <c r="A671" s="960"/>
      <c r="B671" s="961"/>
      <c r="C671" s="962" t="s">
        <v>287</v>
      </c>
      <c r="D671" s="941"/>
      <c r="E671" s="942"/>
      <c r="F671" s="943"/>
      <c r="G671" s="944">
        <v>0</v>
      </c>
    </row>
    <row r="672" spans="1:7" ht="13.5" customHeight="1">
      <c r="A672" s="963" t="s">
        <v>83</v>
      </c>
      <c r="B672" s="964" t="s">
        <v>292</v>
      </c>
      <c r="C672" s="965"/>
      <c r="D672" s="915"/>
      <c r="E672" s="966"/>
      <c r="F672" s="967"/>
      <c r="G672" s="968">
        <f>+G671+G669+G665</f>
        <v>141310</v>
      </c>
    </row>
    <row r="673" spans="1:7" ht="13.5" customHeight="1">
      <c r="A673" s="963" t="s">
        <v>84</v>
      </c>
      <c r="B673" s="969" t="s">
        <v>293</v>
      </c>
      <c r="C673" s="912"/>
      <c r="D673" s="915"/>
      <c r="E673" s="970">
        <f>$I$2</f>
        <v>0.1</v>
      </c>
      <c r="F673" s="967"/>
      <c r="G673" s="968">
        <f>+G672*E673</f>
        <v>14131</v>
      </c>
    </row>
    <row r="674" spans="1:7" s="104" customFormat="1" ht="13.5" customHeight="1" thickBot="1">
      <c r="A674" s="971" t="s">
        <v>85</v>
      </c>
      <c r="B674" s="972" t="s">
        <v>86</v>
      </c>
      <c r="C674" s="973"/>
      <c r="D674" s="973"/>
      <c r="E674" s="974"/>
      <c r="F674" s="975"/>
      <c r="G674" s="976">
        <f>+G673+G672</f>
        <v>155441</v>
      </c>
    </row>
    <row r="675" spans="1:7" s="104" customFormat="1" ht="13.5" customHeight="1" thickTop="1">
      <c r="A675" s="10"/>
      <c r="B675" s="10"/>
      <c r="C675" s="10"/>
      <c r="D675" s="10"/>
      <c r="E675" s="1004"/>
      <c r="F675" s="10"/>
      <c r="G675" s="46"/>
    </row>
    <row r="676" spans="1:7" s="111" customFormat="1" ht="13.5" customHeight="1">
      <c r="A676" s="10"/>
      <c r="B676" s="10"/>
      <c r="C676" s="10"/>
      <c r="D676" s="10"/>
      <c r="E676" s="1004"/>
      <c r="F676" s="10"/>
      <c r="G676" s="46"/>
    </row>
    <row r="677" spans="1:7" s="111" customFormat="1" ht="13.5" customHeight="1">
      <c r="A677" s="10"/>
      <c r="B677" s="10"/>
      <c r="C677" s="10"/>
      <c r="D677" s="10"/>
      <c r="E677" s="1004"/>
      <c r="F677" s="10"/>
      <c r="G677" s="46"/>
    </row>
    <row r="678" spans="1:7" s="111" customFormat="1" ht="13.5" customHeight="1">
      <c r="A678" s="10"/>
      <c r="B678" s="10"/>
      <c r="C678" s="10"/>
      <c r="D678" s="10"/>
      <c r="E678" s="1004"/>
      <c r="F678" s="10"/>
      <c r="G678" s="46"/>
    </row>
    <row r="679" spans="1:7" s="111" customFormat="1" ht="13.5" customHeight="1">
      <c r="A679" s="10"/>
      <c r="B679" s="10"/>
      <c r="C679" s="10"/>
      <c r="D679" s="10"/>
      <c r="E679" s="1004"/>
      <c r="F679" s="10"/>
      <c r="G679" s="46"/>
    </row>
    <row r="680" spans="1:7" s="111" customFormat="1" ht="13.5" customHeight="1">
      <c r="A680" s="10"/>
      <c r="B680" s="10"/>
      <c r="C680" s="10"/>
      <c r="D680" s="10"/>
      <c r="E680" s="1004"/>
      <c r="F680" s="10"/>
      <c r="G680" s="46"/>
    </row>
    <row r="681" spans="1:7" s="111" customFormat="1" ht="13.5" customHeight="1">
      <c r="A681" s="10"/>
      <c r="B681" s="10"/>
      <c r="C681" s="10"/>
      <c r="D681" s="10"/>
      <c r="E681" s="1004"/>
      <c r="F681" s="10"/>
      <c r="G681" s="46"/>
    </row>
    <row r="682" spans="1:7" s="111" customFormat="1" ht="13.5" customHeight="1">
      <c r="A682" s="10"/>
      <c r="B682" s="10"/>
      <c r="C682" s="10"/>
      <c r="D682" s="10"/>
      <c r="E682" s="1004"/>
      <c r="F682" s="10"/>
      <c r="G682" s="46"/>
    </row>
    <row r="683" spans="1:7" s="111" customFormat="1" ht="13.5" customHeight="1">
      <c r="A683" s="10"/>
      <c r="B683" s="10"/>
      <c r="C683" s="10"/>
      <c r="D683" s="10"/>
      <c r="E683" s="1004"/>
      <c r="F683" s="10"/>
      <c r="G683" s="46"/>
    </row>
    <row r="684" spans="1:7" s="111" customFormat="1" ht="13.5" customHeight="1">
      <c r="A684" s="10"/>
      <c r="B684" s="10"/>
      <c r="C684" s="10"/>
      <c r="D684" s="10"/>
      <c r="E684" s="1004"/>
      <c r="F684" s="10"/>
      <c r="G684" s="46"/>
    </row>
    <row r="685" spans="1:7" s="111" customFormat="1" ht="13.5" customHeight="1">
      <c r="A685" s="10"/>
      <c r="B685" s="10"/>
      <c r="C685" s="10"/>
      <c r="D685" s="10"/>
      <c r="E685" s="1004"/>
      <c r="F685" s="10"/>
      <c r="G685" s="46"/>
    </row>
    <row r="686" spans="1:7" s="111" customFormat="1" ht="13.5" customHeight="1">
      <c r="A686" s="10"/>
      <c r="B686" s="10"/>
      <c r="C686" s="10"/>
      <c r="D686" s="10"/>
      <c r="E686" s="1004"/>
      <c r="F686" s="10"/>
      <c r="G686" s="46"/>
    </row>
    <row r="687" spans="1:7" s="111" customFormat="1" ht="13.5" customHeight="1">
      <c r="A687" s="10"/>
      <c r="B687" s="10"/>
      <c r="C687" s="10"/>
      <c r="D687" s="10"/>
      <c r="E687" s="1004"/>
      <c r="F687" s="10"/>
      <c r="G687" s="46"/>
    </row>
    <row r="688" spans="1:7" s="111" customFormat="1" ht="13.5" customHeight="1">
      <c r="A688" s="10"/>
      <c r="B688" s="10"/>
      <c r="C688" s="10"/>
      <c r="D688" s="10"/>
      <c r="E688" s="1004"/>
      <c r="F688" s="10"/>
      <c r="G688" s="46"/>
    </row>
    <row r="689" spans="1:7" s="111" customFormat="1" ht="13.5" customHeight="1">
      <c r="A689" s="10"/>
      <c r="B689" s="10"/>
      <c r="C689" s="10"/>
      <c r="D689" s="10"/>
      <c r="E689" s="1004"/>
      <c r="F689" s="10"/>
      <c r="G689" s="46"/>
    </row>
    <row r="690" spans="1:7" s="111" customFormat="1" ht="13.5" customHeight="1">
      <c r="A690" s="10"/>
      <c r="B690" s="10"/>
      <c r="C690" s="10"/>
      <c r="D690" s="10"/>
      <c r="E690" s="1004"/>
      <c r="F690" s="10"/>
      <c r="G690" s="46"/>
    </row>
    <row r="691" spans="1:7" s="111" customFormat="1" ht="13.5" customHeight="1">
      <c r="A691" s="10"/>
      <c r="B691" s="10"/>
      <c r="C691" s="10"/>
      <c r="D691" s="10"/>
      <c r="E691" s="1004"/>
      <c r="F691" s="10"/>
      <c r="G691" s="46"/>
    </row>
    <row r="692" spans="1:7" s="413" customFormat="1" ht="13.5" customHeight="1">
      <c r="A692" s="10" t="s">
        <v>383</v>
      </c>
      <c r="B692" s="10"/>
      <c r="C692" s="10"/>
      <c r="D692" s="10"/>
      <c r="E692" s="1004"/>
      <c r="F692" s="10"/>
      <c r="G692" s="46"/>
    </row>
    <row r="693" spans="1:7" s="413" customFormat="1">
      <c r="A693" s="10" t="s">
        <v>385</v>
      </c>
      <c r="B693" s="10"/>
      <c r="C693" s="10"/>
      <c r="D693" s="10"/>
      <c r="E693" s="1004"/>
      <c r="F693" s="10"/>
      <c r="G693" s="46"/>
    </row>
    <row r="694" spans="1:7" s="413" customFormat="1" ht="15" thickBot="1">
      <c r="A694" s="10" t="s">
        <v>557</v>
      </c>
      <c r="B694" s="10"/>
      <c r="C694" s="10"/>
      <c r="D694" s="10"/>
      <c r="E694" s="1004"/>
      <c r="F694" s="10"/>
      <c r="G694" s="46"/>
    </row>
    <row r="695" spans="1:7" s="413" customFormat="1" ht="15" thickTop="1">
      <c r="A695" s="1797" t="s">
        <v>275</v>
      </c>
      <c r="B695" s="1799" t="s">
        <v>295</v>
      </c>
      <c r="C695" s="1799" t="s">
        <v>276</v>
      </c>
      <c r="D695" s="1799" t="s">
        <v>277</v>
      </c>
      <c r="E695" s="1801" t="s">
        <v>278</v>
      </c>
      <c r="F695" s="916" t="s">
        <v>279</v>
      </c>
      <c r="G695" s="916" t="s">
        <v>280</v>
      </c>
    </row>
    <row r="696" spans="1:7" s="413" customFormat="1">
      <c r="A696" s="1798"/>
      <c r="B696" s="1800"/>
      <c r="C696" s="1800"/>
      <c r="D696" s="1800"/>
      <c r="E696" s="1802"/>
      <c r="F696" s="917" t="s">
        <v>67</v>
      </c>
      <c r="G696" s="917" t="s">
        <v>67</v>
      </c>
    </row>
    <row r="697" spans="1:7" s="413" customFormat="1">
      <c r="A697" s="918" t="s">
        <v>68</v>
      </c>
      <c r="B697" s="919" t="s">
        <v>298</v>
      </c>
      <c r="C697" s="920"/>
      <c r="D697" s="920"/>
      <c r="E697" s="921"/>
      <c r="F697" s="922"/>
      <c r="G697" s="922"/>
    </row>
    <row r="698" spans="1:7" s="413" customFormat="1">
      <c r="A698" s="918"/>
      <c r="B698" s="923" t="s">
        <v>69</v>
      </c>
      <c r="C698" s="924" t="s">
        <v>70</v>
      </c>
      <c r="D698" s="924" t="s">
        <v>71</v>
      </c>
      <c r="E698" s="1155">
        <v>0.16669999999999999</v>
      </c>
      <c r="F698" s="926">
        <f>Upah!$F$26</f>
        <v>130000</v>
      </c>
      <c r="G698" s="926">
        <f>+F698*E698</f>
        <v>21671</v>
      </c>
    </row>
    <row r="699" spans="1:7" s="413" customFormat="1">
      <c r="A699" s="918"/>
      <c r="B699" s="1164" t="s">
        <v>54</v>
      </c>
      <c r="C699" s="993" t="s">
        <v>72</v>
      </c>
      <c r="D699" s="993" t="s">
        <v>71</v>
      </c>
      <c r="E699" s="1155">
        <v>8.3299999999999999E-2</v>
      </c>
      <c r="F699" s="995">
        <f>Upah!$F$17</f>
        <v>140000</v>
      </c>
      <c r="G699" s="926">
        <f t="shared" ref="G699:G700" si="66">+F699*E699</f>
        <v>11662</v>
      </c>
    </row>
    <row r="700" spans="1:7" s="413" customFormat="1">
      <c r="A700" s="918"/>
      <c r="B700" s="923" t="s">
        <v>73</v>
      </c>
      <c r="C700" s="993" t="s">
        <v>74</v>
      </c>
      <c r="D700" s="993" t="s">
        <v>71</v>
      </c>
      <c r="E700" s="1155">
        <v>8.3000000000000001E-3</v>
      </c>
      <c r="F700" s="995">
        <f>Upah!$F$10</f>
        <v>150000</v>
      </c>
      <c r="G700" s="926">
        <f t="shared" si="66"/>
        <v>1245</v>
      </c>
    </row>
    <row r="701" spans="1:7" s="413" customFormat="1">
      <c r="A701" s="918"/>
      <c r="B701" s="923" t="s">
        <v>50</v>
      </c>
      <c r="C701" s="927" t="s">
        <v>75</v>
      </c>
      <c r="D701" s="927" t="s">
        <v>71</v>
      </c>
      <c r="E701" s="1156">
        <v>2.8E-3</v>
      </c>
      <c r="F701" s="929">
        <f>Upah!$F$8</f>
        <v>170000</v>
      </c>
      <c r="G701" s="929">
        <f>+F701*E701</f>
        <v>476</v>
      </c>
    </row>
    <row r="702" spans="1:7" s="413" customFormat="1">
      <c r="A702" s="918"/>
      <c r="B702" s="930"/>
      <c r="C702" s="931" t="s">
        <v>632</v>
      </c>
      <c r="D702" s="932"/>
      <c r="E702" s="933"/>
      <c r="F702" s="934"/>
      <c r="G702" s="935">
        <f>SUM(G698:G701)</f>
        <v>35054</v>
      </c>
    </row>
    <row r="703" spans="1:7" s="413" customFormat="1">
      <c r="A703" s="918" t="s">
        <v>77</v>
      </c>
      <c r="B703" s="945" t="s">
        <v>299</v>
      </c>
      <c r="C703" s="946"/>
      <c r="D703" s="946"/>
      <c r="E703" s="947"/>
      <c r="F703" s="948"/>
      <c r="G703" s="948"/>
    </row>
    <row r="704" spans="1:7" s="413" customFormat="1">
      <c r="A704" s="1043"/>
      <c r="B704" s="1167" t="s">
        <v>386</v>
      </c>
      <c r="C704" s="1168"/>
      <c r="D704" s="1168" t="s">
        <v>291</v>
      </c>
      <c r="E704" s="1169">
        <v>14</v>
      </c>
      <c r="F704" s="1160">
        <f>Bahan!E91</f>
        <v>2800</v>
      </c>
      <c r="G704" s="1160">
        <f t="shared" ref="G704:G707" si="67">+F704*E704</f>
        <v>39200</v>
      </c>
    </row>
    <row r="705" spans="1:7" s="413" customFormat="1">
      <c r="A705" s="1170"/>
      <c r="B705" s="1167" t="s">
        <v>87</v>
      </c>
      <c r="C705" s="1168"/>
      <c r="D705" s="1168" t="s">
        <v>268</v>
      </c>
      <c r="E705" s="1169">
        <v>24.26</v>
      </c>
      <c r="F705" s="926">
        <f>Bahan!$E$286</f>
        <v>1450</v>
      </c>
      <c r="G705" s="926">
        <f t="shared" si="67"/>
        <v>35177</v>
      </c>
    </row>
    <row r="706" spans="1:7" s="413" customFormat="1">
      <c r="A706" s="1170"/>
      <c r="B706" s="1167" t="s">
        <v>88</v>
      </c>
      <c r="C706" s="1168"/>
      <c r="D706" s="1168" t="s">
        <v>270</v>
      </c>
      <c r="E706" s="1169">
        <v>7.7200000000000005E-2</v>
      </c>
      <c r="F706" s="926">
        <f>Bahan!$E$106</f>
        <v>270000</v>
      </c>
      <c r="G706" s="926">
        <f t="shared" si="67"/>
        <v>20844</v>
      </c>
    </row>
    <row r="707" spans="1:7" s="413" customFormat="1">
      <c r="A707" s="1161"/>
      <c r="B707" s="1171" t="s">
        <v>387</v>
      </c>
      <c r="C707" s="1172"/>
      <c r="D707" s="1172" t="s">
        <v>268</v>
      </c>
      <c r="E707" s="1173">
        <f>0.28*0</f>
        <v>0</v>
      </c>
      <c r="F707" s="926">
        <f>Bahan!E117</f>
        <v>14000</v>
      </c>
      <c r="G707" s="926">
        <f t="shared" si="67"/>
        <v>0</v>
      </c>
    </row>
    <row r="708" spans="1:7" s="413" customFormat="1">
      <c r="A708" s="918"/>
      <c r="B708" s="930"/>
      <c r="C708" s="940" t="s">
        <v>642</v>
      </c>
      <c r="D708" s="941"/>
      <c r="E708" s="942"/>
      <c r="F708" s="943"/>
      <c r="G708" s="944">
        <f>SUM(G704:G707)</f>
        <v>95221</v>
      </c>
    </row>
    <row r="709" spans="1:7" s="413" customFormat="1">
      <c r="A709" s="918" t="s">
        <v>80</v>
      </c>
      <c r="B709" s="919" t="s">
        <v>250</v>
      </c>
      <c r="C709" s="937"/>
      <c r="D709" s="946"/>
      <c r="E709" s="947"/>
      <c r="F709" s="948"/>
      <c r="G709" s="926">
        <v>0</v>
      </c>
    </row>
    <row r="710" spans="1:7" s="413" customFormat="1">
      <c r="A710" s="960"/>
      <c r="B710" s="961"/>
      <c r="C710" s="962" t="s">
        <v>287</v>
      </c>
      <c r="D710" s="941"/>
      <c r="E710" s="942"/>
      <c r="F710" s="943"/>
      <c r="G710" s="944">
        <v>0</v>
      </c>
    </row>
    <row r="711" spans="1:7" s="413" customFormat="1">
      <c r="A711" s="963" t="s">
        <v>83</v>
      </c>
      <c r="B711" s="964" t="s">
        <v>292</v>
      </c>
      <c r="C711" s="965"/>
      <c r="D711" s="915"/>
      <c r="E711" s="966"/>
      <c r="F711" s="967"/>
      <c r="G711" s="968">
        <f>+G710+G708+G702</f>
        <v>130275</v>
      </c>
    </row>
    <row r="712" spans="1:7" s="413" customFormat="1">
      <c r="A712" s="963" t="s">
        <v>84</v>
      </c>
      <c r="B712" s="969" t="s">
        <v>293</v>
      </c>
      <c r="C712" s="912"/>
      <c r="D712" s="915"/>
      <c r="E712" s="970">
        <f>$I$2</f>
        <v>0.1</v>
      </c>
      <c r="F712" s="967"/>
      <c r="G712" s="968">
        <f>+G711*E712</f>
        <v>13027.5</v>
      </c>
    </row>
    <row r="713" spans="1:7" s="413" customFormat="1" ht="15" thickBot="1">
      <c r="A713" s="971" t="s">
        <v>85</v>
      </c>
      <c r="B713" s="972" t="s">
        <v>86</v>
      </c>
      <c r="C713" s="973"/>
      <c r="D713" s="973"/>
      <c r="E713" s="974"/>
      <c r="F713" s="975"/>
      <c r="G713" s="976">
        <f>+G712+G711</f>
        <v>143302.5</v>
      </c>
    </row>
    <row r="714" spans="1:7" ht="15" thickTop="1"/>
    <row r="715" spans="1:7" s="413" customFormat="1">
      <c r="A715" s="10" t="s">
        <v>388</v>
      </c>
      <c r="B715" s="10"/>
      <c r="C715" s="10"/>
      <c r="D715" s="10"/>
      <c r="E715" s="1004"/>
      <c r="F715" s="10"/>
      <c r="G715" s="46"/>
    </row>
    <row r="716" spans="1:7" s="413" customFormat="1" ht="15" thickBot="1">
      <c r="A716" s="10" t="s">
        <v>389</v>
      </c>
      <c r="B716" s="10"/>
      <c r="C716" s="10"/>
      <c r="D716" s="10"/>
      <c r="E716" s="1004"/>
      <c r="F716" s="10"/>
      <c r="G716" s="46"/>
    </row>
    <row r="717" spans="1:7" s="413" customFormat="1" ht="15" thickTop="1">
      <c r="A717" s="1797" t="s">
        <v>275</v>
      </c>
      <c r="B717" s="1799" t="s">
        <v>295</v>
      </c>
      <c r="C717" s="1799" t="s">
        <v>276</v>
      </c>
      <c r="D717" s="1799" t="s">
        <v>277</v>
      </c>
      <c r="E717" s="1801" t="s">
        <v>278</v>
      </c>
      <c r="F717" s="916" t="s">
        <v>279</v>
      </c>
      <c r="G717" s="916" t="s">
        <v>280</v>
      </c>
    </row>
    <row r="718" spans="1:7" s="413" customFormat="1">
      <c r="A718" s="1798"/>
      <c r="B718" s="1800"/>
      <c r="C718" s="1800"/>
      <c r="D718" s="1800"/>
      <c r="E718" s="1802"/>
      <c r="F718" s="917" t="s">
        <v>67</v>
      </c>
      <c r="G718" s="917" t="s">
        <v>67</v>
      </c>
    </row>
    <row r="719" spans="1:7" s="413" customFormat="1">
      <c r="A719" s="918" t="s">
        <v>68</v>
      </c>
      <c r="B719" s="919" t="s">
        <v>298</v>
      </c>
      <c r="C719" s="920"/>
      <c r="D719" s="920"/>
      <c r="E719" s="921"/>
      <c r="F719" s="922"/>
      <c r="G719" s="922"/>
    </row>
    <row r="720" spans="1:7" s="413" customFormat="1">
      <c r="A720" s="918"/>
      <c r="B720" s="923" t="s">
        <v>69</v>
      </c>
      <c r="C720" s="924" t="s">
        <v>70</v>
      </c>
      <c r="D720" s="924" t="s">
        <v>71</v>
      </c>
      <c r="E720" s="1155">
        <v>0.2</v>
      </c>
      <c r="F720" s="926">
        <f>Upah!$F$26</f>
        <v>130000</v>
      </c>
      <c r="G720" s="926">
        <f>+F720*E720</f>
        <v>26000</v>
      </c>
    </row>
    <row r="721" spans="1:7" s="413" customFormat="1">
      <c r="A721" s="918"/>
      <c r="B721" s="1164" t="s">
        <v>54</v>
      </c>
      <c r="C721" s="993" t="s">
        <v>72</v>
      </c>
      <c r="D721" s="993" t="s">
        <v>71</v>
      </c>
      <c r="E721" s="1155">
        <v>0.1</v>
      </c>
      <c r="F721" s="995">
        <f>Upah!$F$17</f>
        <v>140000</v>
      </c>
      <c r="G721" s="926">
        <f t="shared" ref="G721:G722" si="68">+F721*E721</f>
        <v>14000</v>
      </c>
    </row>
    <row r="722" spans="1:7" s="413" customFormat="1">
      <c r="A722" s="918"/>
      <c r="B722" s="923" t="s">
        <v>73</v>
      </c>
      <c r="C722" s="993" t="s">
        <v>74</v>
      </c>
      <c r="D722" s="993" t="s">
        <v>71</v>
      </c>
      <c r="E722" s="1155">
        <v>0.01</v>
      </c>
      <c r="F722" s="995">
        <f>Upah!$F$10</f>
        <v>150000</v>
      </c>
      <c r="G722" s="926">
        <f t="shared" si="68"/>
        <v>1500</v>
      </c>
    </row>
    <row r="723" spans="1:7" s="413" customFormat="1">
      <c r="A723" s="918"/>
      <c r="B723" s="923" t="s">
        <v>50</v>
      </c>
      <c r="C723" s="927" t="s">
        <v>75</v>
      </c>
      <c r="D723" s="927" t="s">
        <v>71</v>
      </c>
      <c r="E723" s="1156">
        <v>3.3E-3</v>
      </c>
      <c r="F723" s="929">
        <f>Upah!$F$8</f>
        <v>170000</v>
      </c>
      <c r="G723" s="929">
        <f>+F723*E723</f>
        <v>561</v>
      </c>
    </row>
    <row r="724" spans="1:7" s="413" customFormat="1">
      <c r="A724" s="918"/>
      <c r="B724" s="930"/>
      <c r="C724" s="931" t="s">
        <v>632</v>
      </c>
      <c r="D724" s="932"/>
      <c r="E724" s="933"/>
      <c r="F724" s="934"/>
      <c r="G724" s="935">
        <f>SUM(G720:G723)</f>
        <v>42061</v>
      </c>
    </row>
    <row r="725" spans="1:7" s="413" customFormat="1">
      <c r="A725" s="918" t="s">
        <v>77</v>
      </c>
      <c r="B725" s="945" t="s">
        <v>299</v>
      </c>
      <c r="C725" s="946"/>
      <c r="D725" s="946"/>
      <c r="E725" s="947"/>
      <c r="F725" s="948"/>
      <c r="G725" s="948"/>
    </row>
    <row r="726" spans="1:7" s="413" customFormat="1">
      <c r="A726" s="1170"/>
      <c r="B726" s="1167" t="s">
        <v>87</v>
      </c>
      <c r="C726" s="1168"/>
      <c r="D726" s="1168" t="s">
        <v>268</v>
      </c>
      <c r="E726" s="1169">
        <v>5.1840000000000002</v>
      </c>
      <c r="F726" s="926">
        <f>Bahan!$E$286</f>
        <v>1450</v>
      </c>
      <c r="G726" s="926">
        <f t="shared" ref="G726:G727" si="69">+F726*E726</f>
        <v>7516.8</v>
      </c>
    </row>
    <row r="727" spans="1:7" s="413" customFormat="1">
      <c r="A727" s="1170"/>
      <c r="B727" s="1167" t="s">
        <v>88</v>
      </c>
      <c r="C727" s="1168"/>
      <c r="D727" s="1168" t="s">
        <v>270</v>
      </c>
      <c r="E727" s="1169">
        <v>2.5999999999999999E-2</v>
      </c>
      <c r="F727" s="926">
        <f>Bahan!$E$106</f>
        <v>270000</v>
      </c>
      <c r="G727" s="926">
        <f t="shared" si="69"/>
        <v>7020</v>
      </c>
    </row>
    <row r="728" spans="1:7" s="413" customFormat="1">
      <c r="A728" s="918"/>
      <c r="B728" s="930"/>
      <c r="C728" s="940" t="s">
        <v>642</v>
      </c>
      <c r="D728" s="941"/>
      <c r="E728" s="942"/>
      <c r="F728" s="943"/>
      <c r="G728" s="944">
        <f>SUM(G726:G727)</f>
        <v>14536.8</v>
      </c>
    </row>
    <row r="729" spans="1:7" s="413" customFormat="1">
      <c r="A729" s="918" t="s">
        <v>80</v>
      </c>
      <c r="B729" s="919" t="s">
        <v>250</v>
      </c>
      <c r="C729" s="937"/>
      <c r="D729" s="946"/>
      <c r="E729" s="947"/>
      <c r="F729" s="948"/>
      <c r="G729" s="926">
        <v>0</v>
      </c>
    </row>
    <row r="730" spans="1:7" s="413" customFormat="1">
      <c r="A730" s="960"/>
      <c r="B730" s="961"/>
      <c r="C730" s="962" t="s">
        <v>287</v>
      </c>
      <c r="D730" s="941"/>
      <c r="E730" s="942"/>
      <c r="F730" s="943"/>
      <c r="G730" s="944">
        <v>0</v>
      </c>
    </row>
    <row r="731" spans="1:7" s="413" customFormat="1">
      <c r="A731" s="963" t="s">
        <v>83</v>
      </c>
      <c r="B731" s="964" t="s">
        <v>292</v>
      </c>
      <c r="C731" s="965"/>
      <c r="D731" s="915"/>
      <c r="E731" s="966"/>
      <c r="F731" s="967"/>
      <c r="G731" s="968">
        <f>+G730+G728+G724</f>
        <v>56597.8</v>
      </c>
    </row>
    <row r="732" spans="1:7" s="413" customFormat="1">
      <c r="A732" s="963" t="s">
        <v>84</v>
      </c>
      <c r="B732" s="969" t="s">
        <v>293</v>
      </c>
      <c r="C732" s="912"/>
      <c r="D732" s="915"/>
      <c r="E732" s="970">
        <f>$I$2</f>
        <v>0.1</v>
      </c>
      <c r="F732" s="967"/>
      <c r="G732" s="968">
        <f>+G731*E732</f>
        <v>5659.7800000000007</v>
      </c>
    </row>
    <row r="733" spans="1:7" s="413" customFormat="1" ht="15" thickBot="1">
      <c r="A733" s="971" t="s">
        <v>85</v>
      </c>
      <c r="B733" s="972" t="s">
        <v>86</v>
      </c>
      <c r="C733" s="973"/>
      <c r="D733" s="973"/>
      <c r="E733" s="974"/>
      <c r="F733" s="975"/>
      <c r="G733" s="976">
        <f>+G732+G731</f>
        <v>62257.58</v>
      </c>
    </row>
    <row r="734" spans="1:7" ht="9" customHeight="1" thickTop="1"/>
    <row r="735" spans="1:7" s="413" customFormat="1" ht="15" thickBot="1">
      <c r="A735" s="10" t="s">
        <v>390</v>
      </c>
      <c r="B735" s="10"/>
      <c r="C735" s="10"/>
      <c r="D735" s="10"/>
      <c r="E735" s="1004"/>
      <c r="F735" s="10"/>
      <c r="G735" s="46"/>
    </row>
    <row r="736" spans="1:7" s="413" customFormat="1" ht="15" thickTop="1">
      <c r="A736" s="1797" t="s">
        <v>275</v>
      </c>
      <c r="B736" s="1799" t="s">
        <v>295</v>
      </c>
      <c r="C736" s="1799" t="s">
        <v>276</v>
      </c>
      <c r="D736" s="1799" t="s">
        <v>277</v>
      </c>
      <c r="E736" s="1801" t="s">
        <v>278</v>
      </c>
      <c r="F736" s="916" t="s">
        <v>279</v>
      </c>
      <c r="G736" s="916" t="s">
        <v>280</v>
      </c>
    </row>
    <row r="737" spans="1:7" s="413" customFormat="1">
      <c r="A737" s="1798"/>
      <c r="B737" s="1800"/>
      <c r="C737" s="1800"/>
      <c r="D737" s="1800"/>
      <c r="E737" s="1802"/>
      <c r="F737" s="917" t="s">
        <v>67</v>
      </c>
      <c r="G737" s="917" t="s">
        <v>67</v>
      </c>
    </row>
    <row r="738" spans="1:7" s="413" customFormat="1">
      <c r="A738" s="918" t="s">
        <v>68</v>
      </c>
      <c r="B738" s="919" t="s">
        <v>298</v>
      </c>
      <c r="C738" s="920"/>
      <c r="D738" s="920"/>
      <c r="E738" s="921"/>
      <c r="F738" s="922"/>
      <c r="G738" s="922"/>
    </row>
    <row r="739" spans="1:7" s="413" customFormat="1">
      <c r="A739" s="918"/>
      <c r="B739" s="923" t="s">
        <v>69</v>
      </c>
      <c r="C739" s="924" t="s">
        <v>70</v>
      </c>
      <c r="D739" s="924" t="s">
        <v>71</v>
      </c>
      <c r="E739" s="1155">
        <v>0.2</v>
      </c>
      <c r="F739" s="926">
        <f>Upah!$F$26</f>
        <v>130000</v>
      </c>
      <c r="G739" s="926">
        <f>+F739*E739</f>
        <v>26000</v>
      </c>
    </row>
    <row r="740" spans="1:7" s="413" customFormat="1">
      <c r="A740" s="918"/>
      <c r="B740" s="1164" t="s">
        <v>54</v>
      </c>
      <c r="C740" s="993" t="s">
        <v>72</v>
      </c>
      <c r="D740" s="993" t="s">
        <v>71</v>
      </c>
      <c r="E740" s="1155">
        <v>0.1</v>
      </c>
      <c r="F740" s="995">
        <f>Upah!$F$17</f>
        <v>140000</v>
      </c>
      <c r="G740" s="926">
        <f t="shared" ref="G740:G741" si="70">+F740*E740</f>
        <v>14000</v>
      </c>
    </row>
    <row r="741" spans="1:7" s="413" customFormat="1">
      <c r="A741" s="918"/>
      <c r="B741" s="923" t="s">
        <v>73</v>
      </c>
      <c r="C741" s="993" t="s">
        <v>74</v>
      </c>
      <c r="D741" s="993" t="s">
        <v>71</v>
      </c>
      <c r="E741" s="1155">
        <v>0.01</v>
      </c>
      <c r="F741" s="995">
        <f>Upah!$F$10</f>
        <v>150000</v>
      </c>
      <c r="G741" s="926">
        <f t="shared" si="70"/>
        <v>1500</v>
      </c>
    </row>
    <row r="742" spans="1:7" s="413" customFormat="1">
      <c r="A742" s="918"/>
      <c r="B742" s="923" t="s">
        <v>50</v>
      </c>
      <c r="C742" s="927" t="s">
        <v>75</v>
      </c>
      <c r="D742" s="927" t="s">
        <v>71</v>
      </c>
      <c r="E742" s="1156">
        <v>3.3E-3</v>
      </c>
      <c r="F742" s="929">
        <f>Upah!$F$8</f>
        <v>170000</v>
      </c>
      <c r="G742" s="929">
        <f>+F742*E742</f>
        <v>561</v>
      </c>
    </row>
    <row r="743" spans="1:7" s="413" customFormat="1">
      <c r="A743" s="918"/>
      <c r="B743" s="930"/>
      <c r="C743" s="931" t="s">
        <v>632</v>
      </c>
      <c r="D743" s="932"/>
      <c r="E743" s="933"/>
      <c r="F743" s="934"/>
      <c r="G743" s="935">
        <f>SUM(G739:G742)</f>
        <v>42061</v>
      </c>
    </row>
    <row r="744" spans="1:7" s="413" customFormat="1">
      <c r="A744" s="918" t="s">
        <v>77</v>
      </c>
      <c r="B744" s="945" t="s">
        <v>299</v>
      </c>
      <c r="C744" s="946"/>
      <c r="D744" s="946"/>
      <c r="E744" s="947"/>
      <c r="F744" s="948"/>
      <c r="G744" s="948"/>
    </row>
    <row r="745" spans="1:7" s="413" customFormat="1">
      <c r="A745" s="1170"/>
      <c r="B745" s="1167" t="s">
        <v>87</v>
      </c>
      <c r="C745" s="1168"/>
      <c r="D745" s="1168" t="s">
        <v>268</v>
      </c>
      <c r="E745" s="1169">
        <v>3.25</v>
      </c>
      <c r="F745" s="926">
        <f>Bahan!$E$286</f>
        <v>1450</v>
      </c>
      <c r="G745" s="926">
        <f t="shared" ref="G745" si="71">+F745*E745</f>
        <v>4712.5</v>
      </c>
    </row>
    <row r="746" spans="1:7" s="413" customFormat="1">
      <c r="A746" s="918"/>
      <c r="B746" s="930"/>
      <c r="C746" s="940" t="s">
        <v>642</v>
      </c>
      <c r="D746" s="941"/>
      <c r="E746" s="942"/>
      <c r="F746" s="943"/>
      <c r="G746" s="944">
        <f>SUM(G745:G745)</f>
        <v>4712.5</v>
      </c>
    </row>
    <row r="747" spans="1:7" s="413" customFormat="1">
      <c r="A747" s="918" t="s">
        <v>80</v>
      </c>
      <c r="B747" s="919" t="s">
        <v>250</v>
      </c>
      <c r="C747" s="937"/>
      <c r="D747" s="946"/>
      <c r="E747" s="947"/>
      <c r="F747" s="948"/>
      <c r="G747" s="926">
        <v>0</v>
      </c>
    </row>
    <row r="748" spans="1:7" s="413" customFormat="1">
      <c r="A748" s="960"/>
      <c r="B748" s="961"/>
      <c r="C748" s="962" t="s">
        <v>287</v>
      </c>
      <c r="D748" s="941"/>
      <c r="E748" s="942"/>
      <c r="F748" s="943"/>
      <c r="G748" s="944">
        <v>0</v>
      </c>
    </row>
    <row r="749" spans="1:7" s="413" customFormat="1">
      <c r="A749" s="963" t="s">
        <v>83</v>
      </c>
      <c r="B749" s="964" t="s">
        <v>292</v>
      </c>
      <c r="C749" s="965"/>
      <c r="D749" s="915"/>
      <c r="E749" s="966"/>
      <c r="F749" s="967"/>
      <c r="G749" s="968">
        <f>+G748+G746+G743</f>
        <v>46773.5</v>
      </c>
    </row>
    <row r="750" spans="1:7" s="413" customFormat="1">
      <c r="A750" s="963" t="s">
        <v>84</v>
      </c>
      <c r="B750" s="969" t="s">
        <v>293</v>
      </c>
      <c r="C750" s="912"/>
      <c r="D750" s="915"/>
      <c r="E750" s="970">
        <f>$I$2</f>
        <v>0.1</v>
      </c>
      <c r="F750" s="967"/>
      <c r="G750" s="968">
        <f>+G749*E750</f>
        <v>4677.3500000000004</v>
      </c>
    </row>
    <row r="751" spans="1:7" s="413" customFormat="1" ht="15" thickBot="1">
      <c r="A751" s="971" t="s">
        <v>85</v>
      </c>
      <c r="B751" s="972" t="s">
        <v>86</v>
      </c>
      <c r="C751" s="973"/>
      <c r="D751" s="973"/>
      <c r="E751" s="974"/>
      <c r="F751" s="975"/>
      <c r="G751" s="976">
        <f>+G750+G749</f>
        <v>51450.85</v>
      </c>
    </row>
    <row r="752" spans="1:7" ht="15" thickTop="1"/>
    <row r="753" spans="1:7" s="111" customFormat="1">
      <c r="A753" s="10"/>
      <c r="B753" s="10"/>
      <c r="C753" s="10"/>
      <c r="D753" s="10"/>
      <c r="E753" s="1004"/>
      <c r="F753" s="10"/>
      <c r="G753" s="46"/>
    </row>
    <row r="754" spans="1:7" s="111" customFormat="1">
      <c r="A754" s="10"/>
      <c r="B754" s="10"/>
      <c r="C754" s="10"/>
      <c r="D754" s="10"/>
      <c r="E754" s="1004"/>
      <c r="F754" s="10"/>
      <c r="G754" s="46"/>
    </row>
    <row r="755" spans="1:7" s="111" customFormat="1">
      <c r="A755" s="10"/>
      <c r="B755" s="10"/>
      <c r="C755" s="10"/>
      <c r="D755" s="10"/>
      <c r="E755" s="1004"/>
      <c r="F755" s="10"/>
      <c r="G755" s="46"/>
    </row>
    <row r="756" spans="1:7" s="111" customFormat="1">
      <c r="A756" s="10"/>
      <c r="B756" s="10"/>
      <c r="C756" s="10"/>
      <c r="D756" s="10"/>
      <c r="E756" s="1004"/>
      <c r="F756" s="10"/>
      <c r="G756" s="46"/>
    </row>
    <row r="757" spans="1:7" s="111" customFormat="1">
      <c r="A757" s="10"/>
      <c r="B757" s="10"/>
      <c r="C757" s="10"/>
      <c r="D757" s="10"/>
      <c r="E757" s="1004"/>
      <c r="F757" s="10"/>
      <c r="G757" s="46"/>
    </row>
    <row r="758" spans="1:7" s="111" customFormat="1">
      <c r="A758" s="10"/>
      <c r="B758" s="10"/>
      <c r="C758" s="10"/>
      <c r="D758" s="10"/>
      <c r="E758" s="1004"/>
      <c r="F758" s="10"/>
      <c r="G758" s="46"/>
    </row>
    <row r="759" spans="1:7" s="111" customFormat="1">
      <c r="A759" s="10"/>
      <c r="B759" s="10"/>
      <c r="C759" s="10"/>
      <c r="D759" s="10"/>
      <c r="E759" s="1004"/>
      <c r="F759" s="10"/>
      <c r="G759" s="46"/>
    </row>
    <row r="760" spans="1:7" s="111" customFormat="1">
      <c r="A760" s="10"/>
      <c r="B760" s="10"/>
      <c r="C760" s="10"/>
      <c r="D760" s="10"/>
      <c r="E760" s="1004"/>
      <c r="F760" s="10"/>
      <c r="G760" s="46"/>
    </row>
    <row r="761" spans="1:7" s="111" customFormat="1">
      <c r="A761" s="10"/>
      <c r="B761" s="10"/>
      <c r="C761" s="10"/>
      <c r="D761" s="10"/>
      <c r="E761" s="1004"/>
      <c r="F761" s="10"/>
      <c r="G761" s="46"/>
    </row>
    <row r="762" spans="1:7" s="111" customFormat="1" ht="15" thickBot="1">
      <c r="A762" s="10" t="s">
        <v>841</v>
      </c>
      <c r="B762" s="10"/>
      <c r="C762" s="10"/>
      <c r="D762" s="10"/>
      <c r="E762" s="1004"/>
      <c r="F762" s="10"/>
      <c r="G762" s="46"/>
    </row>
    <row r="763" spans="1:7" s="111" customFormat="1" ht="15" thickTop="1">
      <c r="A763" s="1797" t="s">
        <v>275</v>
      </c>
      <c r="B763" s="1799" t="s">
        <v>295</v>
      </c>
      <c r="C763" s="1799" t="s">
        <v>276</v>
      </c>
      <c r="D763" s="1799" t="s">
        <v>277</v>
      </c>
      <c r="E763" s="1801" t="s">
        <v>278</v>
      </c>
      <c r="F763" s="916" t="s">
        <v>279</v>
      </c>
      <c r="G763" s="916" t="s">
        <v>280</v>
      </c>
    </row>
    <row r="764" spans="1:7" s="111" customFormat="1">
      <c r="A764" s="1798"/>
      <c r="B764" s="1800"/>
      <c r="C764" s="1800"/>
      <c r="D764" s="1800"/>
      <c r="E764" s="1802"/>
      <c r="F764" s="917" t="s">
        <v>67</v>
      </c>
      <c r="G764" s="917" t="s">
        <v>67</v>
      </c>
    </row>
    <row r="765" spans="1:7" s="111" customFormat="1">
      <c r="A765" s="918" t="s">
        <v>68</v>
      </c>
      <c r="B765" s="919" t="s">
        <v>298</v>
      </c>
      <c r="C765" s="920"/>
      <c r="D765" s="920"/>
      <c r="E765" s="921"/>
      <c r="F765" s="922"/>
      <c r="G765" s="922"/>
    </row>
    <row r="766" spans="1:7" s="111" customFormat="1">
      <c r="A766" s="918"/>
      <c r="B766" s="923" t="s">
        <v>69</v>
      </c>
      <c r="C766" s="924" t="s">
        <v>70</v>
      </c>
      <c r="D766" s="924" t="s">
        <v>71</v>
      </c>
      <c r="E766" s="1155">
        <v>0.3</v>
      </c>
      <c r="F766" s="926">
        <f>Upah!$F$26</f>
        <v>130000</v>
      </c>
      <c r="G766" s="926">
        <f>+F766*E766</f>
        <v>39000</v>
      </c>
    </row>
    <row r="767" spans="1:7" s="111" customFormat="1">
      <c r="A767" s="918"/>
      <c r="B767" s="1164" t="s">
        <v>54</v>
      </c>
      <c r="C767" s="993" t="s">
        <v>72</v>
      </c>
      <c r="D767" s="993" t="s">
        <v>71</v>
      </c>
      <c r="E767" s="1155">
        <v>0.15</v>
      </c>
      <c r="F767" s="995">
        <f>Upah!$F$17</f>
        <v>140000</v>
      </c>
      <c r="G767" s="926">
        <f t="shared" ref="G767:G768" si="72">+F767*E767</f>
        <v>21000</v>
      </c>
    </row>
    <row r="768" spans="1:7" s="111" customFormat="1">
      <c r="A768" s="918"/>
      <c r="B768" s="923" t="s">
        <v>73</v>
      </c>
      <c r="C768" s="993" t="s">
        <v>74</v>
      </c>
      <c r="D768" s="993" t="s">
        <v>71</v>
      </c>
      <c r="E768" s="1155">
        <v>1.4999999999999999E-2</v>
      </c>
      <c r="F768" s="995">
        <f>Upah!$F$10</f>
        <v>150000</v>
      </c>
      <c r="G768" s="926">
        <f t="shared" si="72"/>
        <v>2250</v>
      </c>
    </row>
    <row r="769" spans="1:7" s="111" customFormat="1">
      <c r="A769" s="918"/>
      <c r="B769" s="923" t="s">
        <v>50</v>
      </c>
      <c r="C769" s="927" t="s">
        <v>75</v>
      </c>
      <c r="D769" s="927" t="s">
        <v>71</v>
      </c>
      <c r="E769" s="1156">
        <v>1.4999999999999999E-2</v>
      </c>
      <c r="F769" s="929">
        <f>Upah!$F$8</f>
        <v>170000</v>
      </c>
      <c r="G769" s="929">
        <f>+F769*E769</f>
        <v>2550</v>
      </c>
    </row>
    <row r="770" spans="1:7" s="111" customFormat="1">
      <c r="A770" s="918"/>
      <c r="B770" s="930"/>
      <c r="C770" s="931" t="s">
        <v>632</v>
      </c>
      <c r="D770" s="932"/>
      <c r="E770" s="933"/>
      <c r="F770" s="934"/>
      <c r="G770" s="935">
        <f>SUM(G766:G769)</f>
        <v>64800</v>
      </c>
    </row>
    <row r="771" spans="1:7" s="111" customFormat="1">
      <c r="A771" s="918" t="s">
        <v>77</v>
      </c>
      <c r="B771" s="945" t="s">
        <v>299</v>
      </c>
      <c r="C771" s="946"/>
      <c r="D771" s="946"/>
      <c r="E771" s="947"/>
      <c r="F771" s="948"/>
      <c r="G771" s="948"/>
    </row>
    <row r="772" spans="1:7" s="111" customFormat="1">
      <c r="A772" s="1170"/>
      <c r="B772" s="1167" t="s">
        <v>87</v>
      </c>
      <c r="C772" s="1168"/>
      <c r="D772" s="1168" t="s">
        <v>268</v>
      </c>
      <c r="E772" s="1169">
        <v>6.34</v>
      </c>
      <c r="F772" s="926">
        <f>Bahan!$E$286</f>
        <v>1450</v>
      </c>
      <c r="G772" s="926">
        <f t="shared" ref="G772:G773" si="73">+F772*E772</f>
        <v>9193</v>
      </c>
    </row>
    <row r="773" spans="1:7" s="111" customFormat="1">
      <c r="A773" s="1170"/>
      <c r="B773" s="1167" t="s">
        <v>88</v>
      </c>
      <c r="C773" s="1168"/>
      <c r="D773" s="1168" t="s">
        <v>270</v>
      </c>
      <c r="E773" s="1169">
        <v>1.2E-2</v>
      </c>
      <c r="F773" s="926">
        <f>Bahan!$E$106</f>
        <v>270000</v>
      </c>
      <c r="G773" s="926">
        <f t="shared" si="73"/>
        <v>3240</v>
      </c>
    </row>
    <row r="774" spans="1:7" s="111" customFormat="1">
      <c r="A774" s="918"/>
      <c r="B774" s="930"/>
      <c r="C774" s="940" t="s">
        <v>642</v>
      </c>
      <c r="D774" s="941"/>
      <c r="E774" s="942"/>
      <c r="F774" s="943"/>
      <c r="G774" s="944">
        <f>SUM(G772:G773)</f>
        <v>12433</v>
      </c>
    </row>
    <row r="775" spans="1:7" s="111" customFormat="1">
      <c r="A775" s="918" t="s">
        <v>80</v>
      </c>
      <c r="B775" s="919" t="s">
        <v>250</v>
      </c>
      <c r="C775" s="937"/>
      <c r="D775" s="946"/>
      <c r="E775" s="947"/>
      <c r="F775" s="948"/>
      <c r="G775" s="926">
        <v>0</v>
      </c>
    </row>
    <row r="776" spans="1:7" s="111" customFormat="1">
      <c r="A776" s="960"/>
      <c r="B776" s="961"/>
      <c r="C776" s="962" t="s">
        <v>287</v>
      </c>
      <c r="D776" s="941"/>
      <c r="E776" s="942"/>
      <c r="F776" s="943"/>
      <c r="G776" s="944">
        <v>0</v>
      </c>
    </row>
    <row r="777" spans="1:7" s="111" customFormat="1">
      <c r="A777" s="963" t="s">
        <v>83</v>
      </c>
      <c r="B777" s="964" t="s">
        <v>292</v>
      </c>
      <c r="C777" s="965"/>
      <c r="D777" s="915"/>
      <c r="E777" s="966"/>
      <c r="F777" s="967"/>
      <c r="G777" s="968">
        <f>+G776+G774+G770</f>
        <v>77233</v>
      </c>
    </row>
    <row r="778" spans="1:7" s="111" customFormat="1">
      <c r="A778" s="963" t="s">
        <v>84</v>
      </c>
      <c r="B778" s="969" t="s">
        <v>293</v>
      </c>
      <c r="C778" s="912"/>
      <c r="D778" s="915"/>
      <c r="E778" s="970">
        <f>$I$2</f>
        <v>0.1</v>
      </c>
      <c r="F778" s="967"/>
      <c r="G778" s="968">
        <f>+G777*E778</f>
        <v>7723.3</v>
      </c>
    </row>
    <row r="779" spans="1:7" s="111" customFormat="1" ht="15" thickBot="1">
      <c r="A779" s="971" t="s">
        <v>85</v>
      </c>
      <c r="B779" s="972" t="s">
        <v>86</v>
      </c>
      <c r="C779" s="973"/>
      <c r="D779" s="973"/>
      <c r="E779" s="974"/>
      <c r="F779" s="975"/>
      <c r="G779" s="976">
        <f>+G778+G777</f>
        <v>84956.3</v>
      </c>
    </row>
    <row r="780" spans="1:7" s="111" customFormat="1" ht="15" thickTop="1">
      <c r="A780" s="10"/>
      <c r="B780" s="10"/>
      <c r="C780" s="10"/>
      <c r="D780" s="10"/>
      <c r="E780" s="1004"/>
      <c r="F780" s="10"/>
      <c r="G780" s="46"/>
    </row>
    <row r="781" spans="1:7" s="327" customFormat="1">
      <c r="A781" s="294" t="s">
        <v>392</v>
      </c>
      <c r="B781" s="294"/>
      <c r="C781" s="294"/>
      <c r="D781" s="294"/>
      <c r="E781" s="1174"/>
      <c r="F781" s="294"/>
      <c r="G781" s="1175"/>
    </row>
    <row r="782" spans="1:7" s="327" customFormat="1" ht="15" thickBot="1">
      <c r="A782" s="294" t="s">
        <v>393</v>
      </c>
      <c r="B782" s="294"/>
      <c r="C782" s="294"/>
      <c r="D782" s="294"/>
      <c r="E782" s="1174"/>
      <c r="F782" s="294"/>
      <c r="G782" s="1175"/>
    </row>
    <row r="783" spans="1:7" ht="15" thickTop="1">
      <c r="A783" s="1797" t="s">
        <v>275</v>
      </c>
      <c r="B783" s="1799" t="s">
        <v>295</v>
      </c>
      <c r="C783" s="1799" t="s">
        <v>276</v>
      </c>
      <c r="D783" s="1799" t="s">
        <v>277</v>
      </c>
      <c r="E783" s="1801" t="s">
        <v>278</v>
      </c>
      <c r="F783" s="916" t="s">
        <v>279</v>
      </c>
      <c r="G783" s="916" t="s">
        <v>280</v>
      </c>
    </row>
    <row r="784" spans="1:7">
      <c r="A784" s="1798"/>
      <c r="B784" s="1800"/>
      <c r="C784" s="1800"/>
      <c r="D784" s="1800"/>
      <c r="E784" s="1802"/>
      <c r="F784" s="917" t="s">
        <v>67</v>
      </c>
      <c r="G784" s="917" t="s">
        <v>67</v>
      </c>
    </row>
    <row r="785" spans="1:7">
      <c r="A785" s="918" t="s">
        <v>68</v>
      </c>
      <c r="B785" s="919" t="s">
        <v>298</v>
      </c>
      <c r="C785" s="920"/>
      <c r="D785" s="920"/>
      <c r="E785" s="921"/>
      <c r="F785" s="922"/>
      <c r="G785" s="922"/>
    </row>
    <row r="786" spans="1:7">
      <c r="A786" s="918"/>
      <c r="B786" s="923" t="s">
        <v>69</v>
      </c>
      <c r="C786" s="924" t="s">
        <v>70</v>
      </c>
      <c r="D786" s="924" t="s">
        <v>71</v>
      </c>
      <c r="E786" s="1155">
        <v>7.0000000000000007E-2</v>
      </c>
      <c r="F786" s="926">
        <f>Upah!$F$26</f>
        <v>130000</v>
      </c>
      <c r="G786" s="926">
        <f>+F786*E786</f>
        <v>9100</v>
      </c>
    </row>
    <row r="787" spans="1:7">
      <c r="A787" s="918"/>
      <c r="B787" s="1164" t="s">
        <v>59</v>
      </c>
      <c r="C787" s="993" t="s">
        <v>72</v>
      </c>
      <c r="D787" s="993" t="s">
        <v>71</v>
      </c>
      <c r="E787" s="1155">
        <v>8.9999999999999993E-3</v>
      </c>
      <c r="F787" s="995">
        <f>Upah!$F$20</f>
        <v>140000</v>
      </c>
      <c r="G787" s="926">
        <f t="shared" ref="G787:G788" si="74">+F787*E787</f>
        <v>1260</v>
      </c>
    </row>
    <row r="788" spans="1:7">
      <c r="A788" s="918"/>
      <c r="B788" s="923" t="s">
        <v>73</v>
      </c>
      <c r="C788" s="993" t="s">
        <v>74</v>
      </c>
      <c r="D788" s="993" t="s">
        <v>71</v>
      </c>
      <c r="E788" s="1155">
        <v>8.9999999999999998E-4</v>
      </c>
      <c r="F788" s="995">
        <f>Upah!$F$10</f>
        <v>150000</v>
      </c>
      <c r="G788" s="926">
        <f t="shared" si="74"/>
        <v>135</v>
      </c>
    </row>
    <row r="789" spans="1:7">
      <c r="A789" s="918"/>
      <c r="B789" s="923" t="s">
        <v>50</v>
      </c>
      <c r="C789" s="927" t="s">
        <v>75</v>
      </c>
      <c r="D789" s="927" t="s">
        <v>71</v>
      </c>
      <c r="E789" s="1156">
        <v>2.9999999999999997E-4</v>
      </c>
      <c r="F789" s="929">
        <f>Upah!$F$8</f>
        <v>170000</v>
      </c>
      <c r="G789" s="929">
        <f>+F789*E789</f>
        <v>50.999999999999993</v>
      </c>
    </row>
    <row r="790" spans="1:7">
      <c r="A790" s="918"/>
      <c r="B790" s="930"/>
      <c r="C790" s="931" t="s">
        <v>632</v>
      </c>
      <c r="D790" s="932"/>
      <c r="E790" s="933"/>
      <c r="F790" s="934"/>
      <c r="G790" s="935">
        <f>SUM(G786:G789)</f>
        <v>10546</v>
      </c>
    </row>
    <row r="791" spans="1:7">
      <c r="A791" s="918" t="s">
        <v>77</v>
      </c>
      <c r="B791" s="945" t="s">
        <v>299</v>
      </c>
      <c r="C791" s="946"/>
      <c r="D791" s="946"/>
      <c r="E791" s="947"/>
      <c r="F791" s="948"/>
      <c r="G791" s="948"/>
    </row>
    <row r="792" spans="1:7">
      <c r="A792" s="1170"/>
      <c r="B792" s="1167" t="s">
        <v>394</v>
      </c>
      <c r="C792" s="1168"/>
      <c r="D792" s="1168" t="s">
        <v>268</v>
      </c>
      <c r="E792" s="1169">
        <v>0.2</v>
      </c>
      <c r="F792" s="926">
        <f>Bahan!E156</f>
        <v>36000</v>
      </c>
      <c r="G792" s="926">
        <f t="shared" ref="G792:G798" si="75">+F792*E792</f>
        <v>7200</v>
      </c>
    </row>
    <row r="793" spans="1:7" s="39" customFormat="1">
      <c r="A793" s="1170"/>
      <c r="B793" s="1167" t="s">
        <v>395</v>
      </c>
      <c r="C793" s="1168"/>
      <c r="D793" s="1168" t="s">
        <v>268</v>
      </c>
      <c r="E793" s="1169">
        <v>0.15</v>
      </c>
      <c r="F793" s="926">
        <f>Bahan!E157</f>
        <v>27000</v>
      </c>
      <c r="G793" s="926">
        <f t="shared" ref="G793:G797" si="76">+F793*E793</f>
        <v>4050</v>
      </c>
    </row>
    <row r="794" spans="1:7" s="39" customFormat="1">
      <c r="A794" s="1170"/>
      <c r="B794" s="1167" t="s">
        <v>363</v>
      </c>
      <c r="C794" s="1168"/>
      <c r="D794" s="1168" t="s">
        <v>268</v>
      </c>
      <c r="E794" s="1169">
        <v>0.17</v>
      </c>
      <c r="F794" s="926">
        <f>Bahan!E147</f>
        <v>48000</v>
      </c>
      <c r="G794" s="926">
        <f t="shared" si="76"/>
        <v>8160.0000000000009</v>
      </c>
    </row>
    <row r="795" spans="1:7" s="39" customFormat="1">
      <c r="A795" s="1170"/>
      <c r="B795" s="1167" t="s">
        <v>396</v>
      </c>
      <c r="C795" s="1168"/>
      <c r="D795" s="1168" t="s">
        <v>268</v>
      </c>
      <c r="E795" s="1169">
        <v>0.26</v>
      </c>
      <c r="F795" s="926">
        <f>Bahan!E142</f>
        <v>74000</v>
      </c>
      <c r="G795" s="926">
        <f t="shared" si="76"/>
        <v>19240</v>
      </c>
    </row>
    <row r="796" spans="1:7" s="39" customFormat="1">
      <c r="A796" s="1170"/>
      <c r="B796" s="1167" t="s">
        <v>23</v>
      </c>
      <c r="C796" s="1168"/>
      <c r="D796" s="1168" t="s">
        <v>291</v>
      </c>
      <c r="E796" s="1169">
        <v>0.01</v>
      </c>
      <c r="F796" s="926">
        <f>Bahan!E154</f>
        <v>10000</v>
      </c>
      <c r="G796" s="926">
        <f t="shared" si="76"/>
        <v>100</v>
      </c>
    </row>
    <row r="797" spans="1:7" s="39" customFormat="1">
      <c r="A797" s="1170"/>
      <c r="B797" s="1167" t="s">
        <v>95</v>
      </c>
      <c r="C797" s="1168"/>
      <c r="D797" s="1168" t="s">
        <v>268</v>
      </c>
      <c r="E797" s="1169">
        <v>0.03</v>
      </c>
      <c r="F797" s="926">
        <f>Bahan!E159</f>
        <v>40000</v>
      </c>
      <c r="G797" s="926">
        <f t="shared" si="76"/>
        <v>1200</v>
      </c>
    </row>
    <row r="798" spans="1:7">
      <c r="A798" s="1170"/>
      <c r="B798" s="1167" t="s">
        <v>199</v>
      </c>
      <c r="C798" s="1168"/>
      <c r="D798" s="1168" t="s">
        <v>329</v>
      </c>
      <c r="E798" s="1169">
        <v>0.2</v>
      </c>
      <c r="F798" s="926">
        <f>Bahan!E140</f>
        <v>10000</v>
      </c>
      <c r="G798" s="926">
        <f t="shared" si="75"/>
        <v>2000</v>
      </c>
    </row>
    <row r="799" spans="1:7">
      <c r="A799" s="918"/>
      <c r="B799" s="930"/>
      <c r="C799" s="940" t="s">
        <v>642</v>
      </c>
      <c r="D799" s="941"/>
      <c r="E799" s="942"/>
      <c r="F799" s="943"/>
      <c r="G799" s="944">
        <f>SUM(G792:G798)</f>
        <v>41950</v>
      </c>
    </row>
    <row r="800" spans="1:7">
      <c r="A800" s="918" t="s">
        <v>80</v>
      </c>
      <c r="B800" s="919" t="s">
        <v>250</v>
      </c>
      <c r="C800" s="937"/>
      <c r="D800" s="946"/>
      <c r="E800" s="947"/>
      <c r="F800" s="948"/>
      <c r="G800" s="926">
        <v>0</v>
      </c>
    </row>
    <row r="801" spans="1:7">
      <c r="A801" s="960"/>
      <c r="B801" s="961"/>
      <c r="C801" s="962" t="s">
        <v>287</v>
      </c>
      <c r="D801" s="941"/>
      <c r="E801" s="942"/>
      <c r="F801" s="943"/>
      <c r="G801" s="944">
        <v>0</v>
      </c>
    </row>
    <row r="802" spans="1:7">
      <c r="A802" s="963" t="s">
        <v>83</v>
      </c>
      <c r="B802" s="964" t="s">
        <v>292</v>
      </c>
      <c r="C802" s="965"/>
      <c r="D802" s="915"/>
      <c r="E802" s="966"/>
      <c r="F802" s="967"/>
      <c r="G802" s="968">
        <f>+G801+G799+G790</f>
        <v>52496</v>
      </c>
    </row>
    <row r="803" spans="1:7">
      <c r="A803" s="963" t="s">
        <v>84</v>
      </c>
      <c r="B803" s="969" t="s">
        <v>293</v>
      </c>
      <c r="C803" s="912"/>
      <c r="D803" s="915"/>
      <c r="E803" s="970">
        <f>$I$2</f>
        <v>0.1</v>
      </c>
      <c r="F803" s="967"/>
      <c r="G803" s="968">
        <f>+G802*E803</f>
        <v>5249.6</v>
      </c>
    </row>
    <row r="804" spans="1:7" ht="15" thickBot="1">
      <c r="A804" s="971" t="s">
        <v>85</v>
      </c>
      <c r="B804" s="972" t="s">
        <v>86</v>
      </c>
      <c r="C804" s="973"/>
      <c r="D804" s="973"/>
      <c r="E804" s="974"/>
      <c r="F804" s="975"/>
      <c r="G804" s="976">
        <f>+G803+G802</f>
        <v>57745.599999999999</v>
      </c>
    </row>
    <row r="805" spans="1:7" ht="15" thickTop="1"/>
    <row r="806" spans="1:7" ht="15" thickBot="1">
      <c r="A806" s="10" t="s">
        <v>398</v>
      </c>
    </row>
    <row r="807" spans="1:7" ht="15" thickTop="1">
      <c r="A807" s="1797" t="s">
        <v>275</v>
      </c>
      <c r="B807" s="1799" t="s">
        <v>295</v>
      </c>
      <c r="C807" s="1799" t="s">
        <v>276</v>
      </c>
      <c r="D807" s="1799" t="s">
        <v>277</v>
      </c>
      <c r="E807" s="1801" t="s">
        <v>278</v>
      </c>
      <c r="F807" s="916" t="s">
        <v>279</v>
      </c>
      <c r="G807" s="916" t="s">
        <v>280</v>
      </c>
    </row>
    <row r="808" spans="1:7">
      <c r="A808" s="1798"/>
      <c r="B808" s="1800"/>
      <c r="C808" s="1800"/>
      <c r="D808" s="1800"/>
      <c r="E808" s="1802"/>
      <c r="F808" s="917" t="s">
        <v>67</v>
      </c>
      <c r="G808" s="917" t="s">
        <v>67</v>
      </c>
    </row>
    <row r="809" spans="1:7">
      <c r="A809" s="918" t="s">
        <v>68</v>
      </c>
      <c r="B809" s="919" t="s">
        <v>298</v>
      </c>
      <c r="C809" s="920"/>
      <c r="D809" s="920"/>
      <c r="E809" s="921"/>
      <c r="F809" s="922"/>
      <c r="G809" s="922"/>
    </row>
    <row r="810" spans="1:7">
      <c r="A810" s="918"/>
      <c r="B810" s="923" t="s">
        <v>69</v>
      </c>
      <c r="C810" s="924" t="s">
        <v>70</v>
      </c>
      <c r="D810" s="924" t="s">
        <v>71</v>
      </c>
      <c r="E810" s="1155">
        <v>7.0000000000000007E-2</v>
      </c>
      <c r="F810" s="926">
        <f>Upah!$F$26</f>
        <v>130000</v>
      </c>
      <c r="G810" s="926">
        <f>+F810*E810</f>
        <v>9100</v>
      </c>
    </row>
    <row r="811" spans="1:7">
      <c r="A811" s="918"/>
      <c r="B811" s="1164" t="s">
        <v>59</v>
      </c>
      <c r="C811" s="993" t="s">
        <v>72</v>
      </c>
      <c r="D811" s="993" t="s">
        <v>71</v>
      </c>
      <c r="E811" s="1155">
        <v>0.105</v>
      </c>
      <c r="F811" s="995">
        <f>Upah!$F$20</f>
        <v>140000</v>
      </c>
      <c r="G811" s="926">
        <f t="shared" ref="G811:G812" si="77">+F811*E811</f>
        <v>14700</v>
      </c>
    </row>
    <row r="812" spans="1:7">
      <c r="A812" s="918"/>
      <c r="B812" s="923" t="s">
        <v>73</v>
      </c>
      <c r="C812" s="993" t="s">
        <v>74</v>
      </c>
      <c r="D812" s="993" t="s">
        <v>71</v>
      </c>
      <c r="E812" s="1155">
        <v>1.0500000000000001E-2</v>
      </c>
      <c r="F812" s="995">
        <f>Upah!$F$10</f>
        <v>150000</v>
      </c>
      <c r="G812" s="926">
        <f t="shared" si="77"/>
        <v>1575</v>
      </c>
    </row>
    <row r="813" spans="1:7">
      <c r="A813" s="918"/>
      <c r="B813" s="923" t="s">
        <v>50</v>
      </c>
      <c r="C813" s="927" t="s">
        <v>75</v>
      </c>
      <c r="D813" s="927" t="s">
        <v>71</v>
      </c>
      <c r="E813" s="1156">
        <v>3.5000000000000001E-3</v>
      </c>
      <c r="F813" s="929">
        <f>Upah!$F$8</f>
        <v>170000</v>
      </c>
      <c r="G813" s="929">
        <f>+F813*E813</f>
        <v>595</v>
      </c>
    </row>
    <row r="814" spans="1:7">
      <c r="A814" s="918"/>
      <c r="B814" s="930"/>
      <c r="C814" s="931" t="s">
        <v>632</v>
      </c>
      <c r="D814" s="932"/>
      <c r="E814" s="933"/>
      <c r="F814" s="934"/>
      <c r="G814" s="935">
        <f>SUM(G810:G813)</f>
        <v>25970</v>
      </c>
    </row>
    <row r="815" spans="1:7">
      <c r="A815" s="918" t="s">
        <v>77</v>
      </c>
      <c r="B815" s="945" t="s">
        <v>299</v>
      </c>
      <c r="C815" s="946"/>
      <c r="D815" s="946"/>
      <c r="E815" s="947"/>
      <c r="F815" s="948"/>
      <c r="G815" s="948"/>
    </row>
    <row r="816" spans="1:7">
      <c r="A816" s="1170"/>
      <c r="B816" s="1167" t="s">
        <v>394</v>
      </c>
      <c r="C816" s="1168"/>
      <c r="D816" s="1168" t="s">
        <v>268</v>
      </c>
      <c r="E816" s="1169">
        <v>0.2</v>
      </c>
      <c r="F816" s="926">
        <f>F792</f>
        <v>36000</v>
      </c>
      <c r="G816" s="926">
        <f t="shared" ref="G816:G822" si="78">+F816*E816</f>
        <v>7200</v>
      </c>
    </row>
    <row r="817" spans="1:7">
      <c r="A817" s="1170"/>
      <c r="B817" s="1167" t="s">
        <v>395</v>
      </c>
      <c r="C817" s="1168"/>
      <c r="D817" s="1168" t="s">
        <v>268</v>
      </c>
      <c r="E817" s="1169">
        <v>0.15</v>
      </c>
      <c r="F817" s="926">
        <f t="shared" ref="F817:F822" si="79">F793</f>
        <v>27000</v>
      </c>
      <c r="G817" s="926">
        <f t="shared" si="78"/>
        <v>4050</v>
      </c>
    </row>
    <row r="818" spans="1:7">
      <c r="A818" s="1170"/>
      <c r="B818" s="1167" t="s">
        <v>363</v>
      </c>
      <c r="C818" s="1168"/>
      <c r="D818" s="1168" t="s">
        <v>268</v>
      </c>
      <c r="E818" s="1169">
        <v>0.17</v>
      </c>
      <c r="F818" s="926">
        <f t="shared" si="79"/>
        <v>48000</v>
      </c>
      <c r="G818" s="926">
        <f t="shared" si="78"/>
        <v>8160.0000000000009</v>
      </c>
    </row>
    <row r="819" spans="1:7">
      <c r="A819" s="1170"/>
      <c r="B819" s="1167" t="s">
        <v>396</v>
      </c>
      <c r="C819" s="1168"/>
      <c r="D819" s="1168" t="s">
        <v>268</v>
      </c>
      <c r="E819" s="1169">
        <v>0.35</v>
      </c>
      <c r="F819" s="926">
        <f t="shared" si="79"/>
        <v>74000</v>
      </c>
      <c r="G819" s="926">
        <f t="shared" si="78"/>
        <v>25900</v>
      </c>
    </row>
    <row r="820" spans="1:7">
      <c r="A820" s="1170"/>
      <c r="B820" s="1167" t="s">
        <v>23</v>
      </c>
      <c r="C820" s="1168"/>
      <c r="D820" s="1168" t="s">
        <v>291</v>
      </c>
      <c r="E820" s="1169">
        <v>0.01</v>
      </c>
      <c r="F820" s="926">
        <f t="shared" si="79"/>
        <v>10000</v>
      </c>
      <c r="G820" s="926">
        <f t="shared" si="78"/>
        <v>100</v>
      </c>
    </row>
    <row r="821" spans="1:7">
      <c r="A821" s="1170"/>
      <c r="B821" s="1167" t="s">
        <v>95</v>
      </c>
      <c r="C821" s="1168"/>
      <c r="D821" s="1168" t="s">
        <v>268</v>
      </c>
      <c r="E821" s="1169">
        <v>0.03</v>
      </c>
      <c r="F821" s="926">
        <f t="shared" si="79"/>
        <v>40000</v>
      </c>
      <c r="G821" s="926">
        <f t="shared" si="78"/>
        <v>1200</v>
      </c>
    </row>
    <row r="822" spans="1:7">
      <c r="A822" s="1170"/>
      <c r="B822" s="1167" t="s">
        <v>199</v>
      </c>
      <c r="C822" s="1168"/>
      <c r="D822" s="1168" t="s">
        <v>329</v>
      </c>
      <c r="E822" s="1169">
        <v>0.2</v>
      </c>
      <c r="F822" s="926">
        <f t="shared" si="79"/>
        <v>10000</v>
      </c>
      <c r="G822" s="926">
        <f t="shared" si="78"/>
        <v>2000</v>
      </c>
    </row>
    <row r="823" spans="1:7">
      <c r="A823" s="918"/>
      <c r="B823" s="930"/>
      <c r="C823" s="940" t="s">
        <v>642</v>
      </c>
      <c r="D823" s="941"/>
      <c r="E823" s="942"/>
      <c r="F823" s="943"/>
      <c r="G823" s="944">
        <f>SUM(G816:G822)</f>
        <v>48610</v>
      </c>
    </row>
    <row r="824" spans="1:7">
      <c r="A824" s="918" t="s">
        <v>80</v>
      </c>
      <c r="B824" s="919" t="s">
        <v>250</v>
      </c>
      <c r="C824" s="937"/>
      <c r="D824" s="946"/>
      <c r="E824" s="947"/>
      <c r="F824" s="948"/>
      <c r="G824" s="926">
        <v>0</v>
      </c>
    </row>
    <row r="825" spans="1:7">
      <c r="A825" s="960"/>
      <c r="B825" s="961"/>
      <c r="C825" s="962" t="s">
        <v>287</v>
      </c>
      <c r="D825" s="941"/>
      <c r="E825" s="942"/>
      <c r="F825" s="943"/>
      <c r="G825" s="944">
        <v>0</v>
      </c>
    </row>
    <row r="826" spans="1:7">
      <c r="A826" s="963" t="s">
        <v>83</v>
      </c>
      <c r="B826" s="964" t="s">
        <v>292</v>
      </c>
      <c r="C826" s="965"/>
      <c r="D826" s="915"/>
      <c r="E826" s="966"/>
      <c r="F826" s="967"/>
      <c r="G826" s="968">
        <f>+G825+G823+G814</f>
        <v>74580</v>
      </c>
    </row>
    <row r="827" spans="1:7">
      <c r="A827" s="963" t="s">
        <v>84</v>
      </c>
      <c r="B827" s="969" t="s">
        <v>293</v>
      </c>
      <c r="C827" s="912"/>
      <c r="D827" s="915"/>
      <c r="E827" s="970">
        <f>$I$2</f>
        <v>0.1</v>
      </c>
      <c r="F827" s="967"/>
      <c r="G827" s="968">
        <f>+G826*E827</f>
        <v>7458</v>
      </c>
    </row>
    <row r="828" spans="1:7" ht="15" thickBot="1">
      <c r="A828" s="971" t="s">
        <v>85</v>
      </c>
      <c r="B828" s="972" t="s">
        <v>86</v>
      </c>
      <c r="C828" s="973"/>
      <c r="D828" s="973"/>
      <c r="E828" s="974"/>
      <c r="F828" s="975"/>
      <c r="G828" s="976">
        <f>+G827+G826</f>
        <v>82038</v>
      </c>
    </row>
    <row r="829" spans="1:7" ht="15" thickTop="1"/>
    <row r="830" spans="1:7" s="111" customFormat="1">
      <c r="A830" s="10"/>
      <c r="B830" s="10"/>
      <c r="C830" s="10"/>
      <c r="D830" s="10"/>
      <c r="E830" s="1004"/>
      <c r="F830" s="10"/>
      <c r="G830" s="46"/>
    </row>
    <row r="831" spans="1:7" ht="15" thickBot="1">
      <c r="A831" s="10" t="s">
        <v>399</v>
      </c>
    </row>
    <row r="832" spans="1:7" ht="15" thickTop="1">
      <c r="A832" s="1797" t="s">
        <v>275</v>
      </c>
      <c r="B832" s="1799" t="s">
        <v>295</v>
      </c>
      <c r="C832" s="1799" t="s">
        <v>276</v>
      </c>
      <c r="D832" s="1799" t="s">
        <v>277</v>
      </c>
      <c r="E832" s="1801" t="s">
        <v>278</v>
      </c>
      <c r="F832" s="916" t="s">
        <v>279</v>
      </c>
      <c r="G832" s="916" t="s">
        <v>280</v>
      </c>
    </row>
    <row r="833" spans="1:7">
      <c r="A833" s="1798"/>
      <c r="B833" s="1800"/>
      <c r="C833" s="1800"/>
      <c r="D833" s="1800"/>
      <c r="E833" s="1802"/>
      <c r="F833" s="917" t="s">
        <v>67</v>
      </c>
      <c r="G833" s="917" t="s">
        <v>67</v>
      </c>
    </row>
    <row r="834" spans="1:7">
      <c r="A834" s="918" t="s">
        <v>68</v>
      </c>
      <c r="B834" s="919" t="s">
        <v>298</v>
      </c>
      <c r="C834" s="920"/>
      <c r="D834" s="920"/>
      <c r="E834" s="921"/>
      <c r="F834" s="922"/>
      <c r="G834" s="922"/>
    </row>
    <row r="835" spans="1:7">
      <c r="A835" s="918"/>
      <c r="B835" s="923" t="s">
        <v>69</v>
      </c>
      <c r="C835" s="924" t="s">
        <v>70</v>
      </c>
      <c r="D835" s="924" t="s">
        <v>71</v>
      </c>
      <c r="E835" s="1155">
        <v>0.04</v>
      </c>
      <c r="F835" s="926">
        <f>Upah!$F$26</f>
        <v>130000</v>
      </c>
      <c r="G835" s="926">
        <f>+F835*E835</f>
        <v>5200</v>
      </c>
    </row>
    <row r="836" spans="1:7">
      <c r="A836" s="918"/>
      <c r="B836" s="1164" t="s">
        <v>59</v>
      </c>
      <c r="C836" s="993" t="s">
        <v>72</v>
      </c>
      <c r="D836" s="993" t="s">
        <v>71</v>
      </c>
      <c r="E836" s="1155">
        <v>0.06</v>
      </c>
      <c r="F836" s="995">
        <f>Upah!$F$20</f>
        <v>140000</v>
      </c>
      <c r="G836" s="926">
        <f t="shared" ref="G836:G837" si="80">+F836*E836</f>
        <v>8400</v>
      </c>
    </row>
    <row r="837" spans="1:7">
      <c r="A837" s="918"/>
      <c r="B837" s="923" t="s">
        <v>73</v>
      </c>
      <c r="C837" s="993" t="s">
        <v>74</v>
      </c>
      <c r="D837" s="993" t="s">
        <v>71</v>
      </c>
      <c r="E837" s="1155">
        <v>6.0000000000000001E-3</v>
      </c>
      <c r="F837" s="995">
        <f>Upah!$F$10</f>
        <v>150000</v>
      </c>
      <c r="G837" s="926">
        <f t="shared" si="80"/>
        <v>900</v>
      </c>
    </row>
    <row r="838" spans="1:7">
      <c r="A838" s="918"/>
      <c r="B838" s="923" t="s">
        <v>50</v>
      </c>
      <c r="C838" s="927" t="s">
        <v>75</v>
      </c>
      <c r="D838" s="927" t="s">
        <v>71</v>
      </c>
      <c r="E838" s="1156">
        <v>2E-3</v>
      </c>
      <c r="F838" s="929">
        <f>Upah!$F$8</f>
        <v>170000</v>
      </c>
      <c r="G838" s="929">
        <f>+F838*E838</f>
        <v>340</v>
      </c>
    </row>
    <row r="839" spans="1:7">
      <c r="A839" s="918"/>
      <c r="B839" s="930"/>
      <c r="C839" s="931" t="s">
        <v>632</v>
      </c>
      <c r="D839" s="932"/>
      <c r="E839" s="933"/>
      <c r="F839" s="934"/>
      <c r="G839" s="935">
        <f>SUM(G835:G838)</f>
        <v>14840</v>
      </c>
    </row>
    <row r="840" spans="1:7">
      <c r="A840" s="918" t="s">
        <v>77</v>
      </c>
      <c r="B840" s="945" t="s">
        <v>299</v>
      </c>
      <c r="C840" s="946"/>
      <c r="D840" s="946"/>
      <c r="E840" s="947"/>
      <c r="F840" s="948"/>
      <c r="G840" s="948"/>
    </row>
    <row r="841" spans="1:7">
      <c r="A841" s="1170"/>
      <c r="B841" s="1167" t="s">
        <v>400</v>
      </c>
      <c r="C841" s="1168"/>
      <c r="D841" s="1168" t="s">
        <v>296</v>
      </c>
      <c r="E841" s="1169">
        <v>0.15</v>
      </c>
      <c r="F841" s="926">
        <f>Bahan!E161</f>
        <v>88000</v>
      </c>
      <c r="G841" s="926">
        <f t="shared" ref="G841:G843" si="81">+F841*E841</f>
        <v>13200</v>
      </c>
    </row>
    <row r="842" spans="1:7">
      <c r="A842" s="1170"/>
      <c r="B842" s="1167" t="s">
        <v>401</v>
      </c>
      <c r="C842" s="1168"/>
      <c r="D842" s="1168" t="s">
        <v>296</v>
      </c>
      <c r="E842" s="1169">
        <v>0.372</v>
      </c>
      <c r="F842" s="926">
        <f>Bahan!E162</f>
        <v>85000</v>
      </c>
      <c r="G842" s="926">
        <f t="shared" si="81"/>
        <v>31620</v>
      </c>
    </row>
    <row r="843" spans="1:7">
      <c r="A843" s="1170"/>
      <c r="B843" s="1167" t="s">
        <v>199</v>
      </c>
      <c r="C843" s="1168"/>
      <c r="D843" s="1168" t="s">
        <v>329</v>
      </c>
      <c r="E843" s="1169">
        <v>2</v>
      </c>
      <c r="F843" s="926">
        <f>F822</f>
        <v>10000</v>
      </c>
      <c r="G843" s="926">
        <f t="shared" si="81"/>
        <v>20000</v>
      </c>
    </row>
    <row r="844" spans="1:7">
      <c r="A844" s="918"/>
      <c r="B844" s="930"/>
      <c r="C844" s="940" t="s">
        <v>642</v>
      </c>
      <c r="D844" s="941"/>
      <c r="E844" s="942"/>
      <c r="F844" s="943"/>
      <c r="G844" s="944">
        <f>SUM(G841:G843)</f>
        <v>64820</v>
      </c>
    </row>
    <row r="845" spans="1:7">
      <c r="A845" s="918" t="s">
        <v>80</v>
      </c>
      <c r="B845" s="919" t="s">
        <v>250</v>
      </c>
      <c r="C845" s="937"/>
      <c r="D845" s="946"/>
      <c r="E845" s="947"/>
      <c r="F845" s="948"/>
      <c r="G845" s="926">
        <v>0</v>
      </c>
    </row>
    <row r="846" spans="1:7">
      <c r="A846" s="960"/>
      <c r="B846" s="961"/>
      <c r="C846" s="962" t="s">
        <v>287</v>
      </c>
      <c r="D846" s="941"/>
      <c r="E846" s="942"/>
      <c r="F846" s="943"/>
      <c r="G846" s="944">
        <v>0</v>
      </c>
    </row>
    <row r="847" spans="1:7">
      <c r="A847" s="963" t="s">
        <v>83</v>
      </c>
      <c r="B847" s="964" t="s">
        <v>292</v>
      </c>
      <c r="C847" s="965"/>
      <c r="D847" s="915"/>
      <c r="E847" s="966"/>
      <c r="F847" s="967"/>
      <c r="G847" s="968">
        <f>+G846+G844+G839</f>
        <v>79660</v>
      </c>
    </row>
    <row r="848" spans="1:7">
      <c r="A848" s="963" t="s">
        <v>84</v>
      </c>
      <c r="B848" s="969" t="s">
        <v>293</v>
      </c>
      <c r="C848" s="912"/>
      <c r="D848" s="915"/>
      <c r="E848" s="970">
        <f>$I$2</f>
        <v>0.1</v>
      </c>
      <c r="F848" s="967"/>
      <c r="G848" s="968">
        <f>+G847*E848</f>
        <v>7966</v>
      </c>
    </row>
    <row r="849" spans="1:7" ht="15" thickBot="1">
      <c r="A849" s="971" t="s">
        <v>85</v>
      </c>
      <c r="B849" s="972" t="s">
        <v>86</v>
      </c>
      <c r="C849" s="973"/>
      <c r="D849" s="973"/>
      <c r="E849" s="974"/>
      <c r="F849" s="975"/>
      <c r="G849" s="976">
        <f>+G848+G847</f>
        <v>87626</v>
      </c>
    </row>
    <row r="850" spans="1:7" ht="9" customHeight="1" thickTop="1"/>
    <row r="851" spans="1:7" s="413" customFormat="1" ht="13.5" customHeight="1" thickBot="1">
      <c r="A851" s="10" t="s">
        <v>964</v>
      </c>
      <c r="B851" s="10"/>
      <c r="C851" s="10"/>
      <c r="D851" s="10"/>
      <c r="E851" s="1004"/>
      <c r="F851" s="10"/>
      <c r="G851" s="46"/>
    </row>
    <row r="852" spans="1:7" s="413" customFormat="1" ht="13.5" customHeight="1" thickTop="1">
      <c r="A852" s="1797" t="s">
        <v>275</v>
      </c>
      <c r="B852" s="1799" t="s">
        <v>295</v>
      </c>
      <c r="C852" s="1799" t="s">
        <v>276</v>
      </c>
      <c r="D852" s="1799" t="s">
        <v>277</v>
      </c>
      <c r="E852" s="1801" t="s">
        <v>278</v>
      </c>
      <c r="F852" s="916" t="s">
        <v>279</v>
      </c>
      <c r="G852" s="916" t="s">
        <v>280</v>
      </c>
    </row>
    <row r="853" spans="1:7" s="413" customFormat="1" ht="13.5" customHeight="1">
      <c r="A853" s="1798"/>
      <c r="B853" s="1800"/>
      <c r="C853" s="1800"/>
      <c r="D853" s="1800"/>
      <c r="E853" s="1802"/>
      <c r="F853" s="917" t="s">
        <v>67</v>
      </c>
      <c r="G853" s="917" t="s">
        <v>67</v>
      </c>
    </row>
    <row r="854" spans="1:7" s="413" customFormat="1" ht="13.5" customHeight="1">
      <c r="A854" s="918" t="s">
        <v>68</v>
      </c>
      <c r="B854" s="919" t="s">
        <v>298</v>
      </c>
      <c r="C854" s="920"/>
      <c r="D854" s="920"/>
      <c r="E854" s="921"/>
      <c r="F854" s="922"/>
      <c r="G854" s="922"/>
    </row>
    <row r="855" spans="1:7" s="413" customFormat="1" ht="13.5" customHeight="1">
      <c r="A855" s="918"/>
      <c r="B855" s="923" t="s">
        <v>69</v>
      </c>
      <c r="C855" s="924" t="s">
        <v>70</v>
      </c>
      <c r="D855" s="924" t="s">
        <v>71</v>
      </c>
      <c r="E855" s="1155">
        <v>0.04</v>
      </c>
      <c r="F855" s="926">
        <f>Upah!$F$26</f>
        <v>130000</v>
      </c>
      <c r="G855" s="926">
        <f>+F855*E855</f>
        <v>5200</v>
      </c>
    </row>
    <row r="856" spans="1:7" s="413" customFormat="1" ht="13.5" customHeight="1">
      <c r="A856" s="918"/>
      <c r="B856" s="1164" t="s">
        <v>59</v>
      </c>
      <c r="C856" s="993" t="s">
        <v>72</v>
      </c>
      <c r="D856" s="993" t="s">
        <v>71</v>
      </c>
      <c r="E856" s="1155">
        <v>0.06</v>
      </c>
      <c r="F856" s="995">
        <f>Upah!$F$20</f>
        <v>140000</v>
      </c>
      <c r="G856" s="926">
        <f t="shared" ref="G856:G857" si="82">+F856*E856</f>
        <v>8400</v>
      </c>
    </row>
    <row r="857" spans="1:7" s="413" customFormat="1" ht="13.5" customHeight="1">
      <c r="A857" s="918"/>
      <c r="B857" s="923" t="s">
        <v>73</v>
      </c>
      <c r="C857" s="993" t="s">
        <v>74</v>
      </c>
      <c r="D857" s="993" t="s">
        <v>71</v>
      </c>
      <c r="E857" s="1155">
        <v>6.0000000000000001E-3</v>
      </c>
      <c r="F857" s="995">
        <f>Upah!$F$10</f>
        <v>150000</v>
      </c>
      <c r="G857" s="926">
        <f t="shared" si="82"/>
        <v>900</v>
      </c>
    </row>
    <row r="858" spans="1:7" s="413" customFormat="1" ht="13.5" customHeight="1">
      <c r="A858" s="918"/>
      <c r="B858" s="923" t="s">
        <v>50</v>
      </c>
      <c r="C858" s="927" t="s">
        <v>75</v>
      </c>
      <c r="D858" s="927" t="s">
        <v>71</v>
      </c>
      <c r="E858" s="1156">
        <v>2E-3</v>
      </c>
      <c r="F858" s="929">
        <f>Upah!$F$8</f>
        <v>170000</v>
      </c>
      <c r="G858" s="929">
        <f>+F858*E858</f>
        <v>340</v>
      </c>
    </row>
    <row r="859" spans="1:7" s="413" customFormat="1" ht="13.5" customHeight="1">
      <c r="A859" s="918"/>
      <c r="B859" s="930"/>
      <c r="C859" s="931" t="s">
        <v>632</v>
      </c>
      <c r="D859" s="932"/>
      <c r="E859" s="933"/>
      <c r="F859" s="934"/>
      <c r="G859" s="935">
        <f>SUM(G855:G858)</f>
        <v>14840</v>
      </c>
    </row>
    <row r="860" spans="1:7" s="413" customFormat="1" ht="13.5" customHeight="1">
      <c r="A860" s="918" t="s">
        <v>77</v>
      </c>
      <c r="B860" s="945" t="s">
        <v>299</v>
      </c>
      <c r="C860" s="946"/>
      <c r="D860" s="946"/>
      <c r="E860" s="947"/>
      <c r="F860" s="948"/>
      <c r="G860" s="948"/>
    </row>
    <row r="861" spans="1:7" s="413" customFormat="1" ht="13.5" customHeight="1">
      <c r="A861" s="1170"/>
      <c r="B861" s="1167" t="s">
        <v>400</v>
      </c>
      <c r="C861" s="1168"/>
      <c r="D861" s="1168" t="s">
        <v>296</v>
      </c>
      <c r="E861" s="1169">
        <f>0.15*0</f>
        <v>0</v>
      </c>
      <c r="F861" s="926">
        <f>F841</f>
        <v>88000</v>
      </c>
      <c r="G861" s="926">
        <f t="shared" ref="G861:G863" si="83">+F861*E861</f>
        <v>0</v>
      </c>
    </row>
    <row r="862" spans="1:7" s="413" customFormat="1" ht="13.5" customHeight="1">
      <c r="A862" s="1170"/>
      <c r="B862" s="1167" t="s">
        <v>401</v>
      </c>
      <c r="C862" s="1168"/>
      <c r="D862" s="1168" t="s">
        <v>296</v>
      </c>
      <c r="E862" s="1169">
        <v>0.372</v>
      </c>
      <c r="F862" s="926">
        <f t="shared" ref="F862:F863" si="84">F842</f>
        <v>85000</v>
      </c>
      <c r="G862" s="926">
        <f t="shared" si="83"/>
        <v>31620</v>
      </c>
    </row>
    <row r="863" spans="1:7" s="413" customFormat="1" ht="13.5" customHeight="1">
      <c r="A863" s="1170"/>
      <c r="B863" s="1167" t="s">
        <v>199</v>
      </c>
      <c r="C863" s="1168"/>
      <c r="D863" s="1168" t="s">
        <v>329</v>
      </c>
      <c r="E863" s="1169">
        <v>1</v>
      </c>
      <c r="F863" s="926">
        <f t="shared" si="84"/>
        <v>10000</v>
      </c>
      <c r="G863" s="926">
        <f t="shared" si="83"/>
        <v>10000</v>
      </c>
    </row>
    <row r="864" spans="1:7" s="413" customFormat="1" ht="13.5" customHeight="1">
      <c r="A864" s="918"/>
      <c r="B864" s="930"/>
      <c r="C864" s="940" t="s">
        <v>642</v>
      </c>
      <c r="D864" s="941"/>
      <c r="E864" s="942"/>
      <c r="F864" s="943"/>
      <c r="G864" s="944">
        <f>SUM(G861:G863)</f>
        <v>41620</v>
      </c>
    </row>
    <row r="865" spans="1:7" s="413" customFormat="1" ht="13.5" customHeight="1">
      <c r="A865" s="918" t="s">
        <v>80</v>
      </c>
      <c r="B865" s="919" t="s">
        <v>250</v>
      </c>
      <c r="C865" s="937"/>
      <c r="D865" s="946"/>
      <c r="E865" s="947"/>
      <c r="F865" s="948"/>
      <c r="G865" s="926">
        <v>0</v>
      </c>
    </row>
    <row r="866" spans="1:7" s="413" customFormat="1" ht="13.5" customHeight="1">
      <c r="A866" s="960"/>
      <c r="B866" s="961"/>
      <c r="C866" s="962" t="s">
        <v>287</v>
      </c>
      <c r="D866" s="941"/>
      <c r="E866" s="942"/>
      <c r="F866" s="943"/>
      <c r="G866" s="944">
        <v>0</v>
      </c>
    </row>
    <row r="867" spans="1:7" s="413" customFormat="1" ht="13.5" customHeight="1">
      <c r="A867" s="963" t="s">
        <v>83</v>
      </c>
      <c r="B867" s="964" t="s">
        <v>292</v>
      </c>
      <c r="C867" s="965"/>
      <c r="D867" s="915"/>
      <c r="E867" s="966"/>
      <c r="F867" s="967"/>
      <c r="G867" s="968">
        <f>+G866+G864+G859</f>
        <v>56460</v>
      </c>
    </row>
    <row r="868" spans="1:7" s="413" customFormat="1" ht="13.5" customHeight="1">
      <c r="A868" s="963" t="s">
        <v>84</v>
      </c>
      <c r="B868" s="969" t="s">
        <v>293</v>
      </c>
      <c r="C868" s="912"/>
      <c r="D868" s="915"/>
      <c r="E868" s="970">
        <f>$I$2</f>
        <v>0.1</v>
      </c>
      <c r="F868" s="967"/>
      <c r="G868" s="968">
        <f>+G867*E868</f>
        <v>5646</v>
      </c>
    </row>
    <row r="869" spans="1:7" s="413" customFormat="1" ht="13.5" customHeight="1" thickBot="1">
      <c r="A869" s="971" t="s">
        <v>85</v>
      </c>
      <c r="B869" s="972" t="s">
        <v>86</v>
      </c>
      <c r="C869" s="973"/>
      <c r="D869" s="973"/>
      <c r="E869" s="974"/>
      <c r="F869" s="975"/>
      <c r="G869" s="976">
        <f>+G868+G867</f>
        <v>62106</v>
      </c>
    </row>
    <row r="870" spans="1:7" s="111" customFormat="1" ht="13.5" customHeight="1" thickTop="1">
      <c r="A870" s="10"/>
      <c r="B870" s="10"/>
      <c r="C870" s="10"/>
      <c r="D870" s="10"/>
      <c r="E870" s="1004"/>
      <c r="F870" s="10"/>
      <c r="G870" s="46"/>
    </row>
    <row r="871" spans="1:7" s="111" customFormat="1" ht="13.5" customHeight="1">
      <c r="A871" s="10"/>
      <c r="B871" s="10"/>
      <c r="C871" s="10"/>
      <c r="D871" s="10"/>
      <c r="E871" s="1004"/>
      <c r="F871" s="10"/>
      <c r="G871" s="46"/>
    </row>
    <row r="872" spans="1:7" s="111" customFormat="1" ht="9" customHeight="1">
      <c r="A872" s="10"/>
      <c r="B872" s="10"/>
      <c r="C872" s="10"/>
      <c r="D872" s="10"/>
      <c r="E872" s="1004"/>
      <c r="F872" s="10"/>
      <c r="G872" s="46"/>
    </row>
    <row r="873" spans="1:7" ht="15" thickBot="1">
      <c r="A873" s="10" t="s">
        <v>584</v>
      </c>
    </row>
    <row r="874" spans="1:7" ht="15" thickTop="1">
      <c r="A874" s="1797" t="s">
        <v>275</v>
      </c>
      <c r="B874" s="1799" t="s">
        <v>295</v>
      </c>
      <c r="C874" s="1799" t="s">
        <v>276</v>
      </c>
      <c r="D874" s="1799" t="s">
        <v>277</v>
      </c>
      <c r="E874" s="1801" t="s">
        <v>278</v>
      </c>
      <c r="F874" s="916" t="s">
        <v>279</v>
      </c>
      <c r="G874" s="916" t="s">
        <v>280</v>
      </c>
    </row>
    <row r="875" spans="1:7">
      <c r="A875" s="1798"/>
      <c r="B875" s="1800"/>
      <c r="C875" s="1800"/>
      <c r="D875" s="1800"/>
      <c r="E875" s="1802"/>
      <c r="F875" s="917" t="s">
        <v>67</v>
      </c>
      <c r="G875" s="917" t="s">
        <v>67</v>
      </c>
    </row>
    <row r="876" spans="1:7">
      <c r="A876" s="918" t="s">
        <v>68</v>
      </c>
      <c r="B876" s="919" t="s">
        <v>298</v>
      </c>
      <c r="C876" s="920"/>
      <c r="D876" s="920"/>
      <c r="E876" s="921"/>
      <c r="F876" s="922"/>
      <c r="G876" s="922"/>
    </row>
    <row r="877" spans="1:7">
      <c r="A877" s="918"/>
      <c r="B877" s="923" t="s">
        <v>69</v>
      </c>
      <c r="C877" s="924" t="s">
        <v>70</v>
      </c>
      <c r="D877" s="924" t="s">
        <v>71</v>
      </c>
      <c r="E877" s="1155">
        <v>6.6699999999999995E-2</v>
      </c>
      <c r="F877" s="926">
        <f>Upah!$F$26</f>
        <v>130000</v>
      </c>
      <c r="G877" s="926">
        <f>+F877*E877</f>
        <v>8671</v>
      </c>
    </row>
    <row r="878" spans="1:7">
      <c r="A878" s="918"/>
      <c r="B878" s="1164" t="s">
        <v>59</v>
      </c>
      <c r="C878" s="993" t="s">
        <v>72</v>
      </c>
      <c r="D878" s="993" t="s">
        <v>71</v>
      </c>
      <c r="E878" s="1155">
        <v>6.6699999999999995E-2</v>
      </c>
      <c r="F878" s="995">
        <f>Upah!$F$20</f>
        <v>140000</v>
      </c>
      <c r="G878" s="926">
        <f t="shared" ref="G878:G879" si="85">+F878*E878</f>
        <v>9338</v>
      </c>
    </row>
    <row r="879" spans="1:7">
      <c r="A879" s="918"/>
      <c r="B879" s="923" t="s">
        <v>73</v>
      </c>
      <c r="C879" s="993" t="s">
        <v>74</v>
      </c>
      <c r="D879" s="993" t="s">
        <v>71</v>
      </c>
      <c r="E879" s="1155">
        <v>6.7000000000000002E-3</v>
      </c>
      <c r="F879" s="995">
        <f>Upah!$F$10</f>
        <v>150000</v>
      </c>
      <c r="G879" s="926">
        <f t="shared" si="85"/>
        <v>1005</v>
      </c>
    </row>
    <row r="880" spans="1:7">
      <c r="A880" s="918"/>
      <c r="B880" s="923" t="s">
        <v>50</v>
      </c>
      <c r="C880" s="927" t="s">
        <v>75</v>
      </c>
      <c r="D880" s="927" t="s">
        <v>71</v>
      </c>
      <c r="E880" s="1156">
        <v>2.2000000000000001E-3</v>
      </c>
      <c r="F880" s="929">
        <f>Upah!$F$8</f>
        <v>170000</v>
      </c>
      <c r="G880" s="929">
        <f>+F880*E880</f>
        <v>374</v>
      </c>
    </row>
    <row r="881" spans="1:8">
      <c r="A881" s="918"/>
      <c r="B881" s="930"/>
      <c r="C881" s="931" t="s">
        <v>632</v>
      </c>
      <c r="D881" s="932"/>
      <c r="E881" s="933"/>
      <c r="F881" s="934"/>
      <c r="G881" s="935">
        <f>SUM(G877:G880)</f>
        <v>19388</v>
      </c>
    </row>
    <row r="882" spans="1:8">
      <c r="A882" s="918" t="s">
        <v>77</v>
      </c>
      <c r="B882" s="945" t="s">
        <v>299</v>
      </c>
      <c r="C882" s="946"/>
      <c r="D882" s="946"/>
      <c r="E882" s="947"/>
      <c r="F882" s="948"/>
      <c r="G882" s="948"/>
    </row>
    <row r="883" spans="1:8">
      <c r="A883" s="1170"/>
      <c r="B883" s="1167" t="s">
        <v>363</v>
      </c>
      <c r="C883" s="1168"/>
      <c r="D883" s="1168" t="s">
        <v>268</v>
      </c>
      <c r="E883" s="1169">
        <v>0.1</v>
      </c>
      <c r="F883" s="926">
        <f>Bahan!E147</f>
        <v>48000</v>
      </c>
      <c r="G883" s="926">
        <f t="shared" ref="G883:G884" si="86">+F883*E883</f>
        <v>4800</v>
      </c>
      <c r="H883">
        <f>665000/25</f>
        <v>26600</v>
      </c>
    </row>
    <row r="884" spans="1:8">
      <c r="A884" s="1170"/>
      <c r="B884" s="1167" t="s">
        <v>402</v>
      </c>
      <c r="C884" s="1168"/>
      <c r="D884" s="1168" t="s">
        <v>268</v>
      </c>
      <c r="E884" s="1169">
        <v>0.26</v>
      </c>
      <c r="F884" s="926">
        <f>Bahan!E148</f>
        <v>68000</v>
      </c>
      <c r="G884" s="926">
        <f t="shared" si="86"/>
        <v>17680</v>
      </c>
      <c r="H884" s="54">
        <f>1050000/25</f>
        <v>42000</v>
      </c>
    </row>
    <row r="885" spans="1:8">
      <c r="A885" s="918"/>
      <c r="B885" s="930"/>
      <c r="C885" s="940" t="s">
        <v>642</v>
      </c>
      <c r="D885" s="941"/>
      <c r="E885" s="942"/>
      <c r="F885" s="943"/>
      <c r="G885" s="944">
        <f>SUM(G883:G884)</f>
        <v>22480</v>
      </c>
    </row>
    <row r="886" spans="1:8">
      <c r="A886" s="918" t="s">
        <v>80</v>
      </c>
      <c r="B886" s="919" t="s">
        <v>250</v>
      </c>
      <c r="C886" s="937"/>
      <c r="D886" s="946"/>
      <c r="E886" s="947"/>
      <c r="F886" s="948"/>
      <c r="G886" s="926">
        <v>0</v>
      </c>
    </row>
    <row r="887" spans="1:8">
      <c r="A887" s="960"/>
      <c r="B887" s="961"/>
      <c r="C887" s="962" t="s">
        <v>287</v>
      </c>
      <c r="D887" s="941"/>
      <c r="E887" s="942"/>
      <c r="F887" s="943"/>
      <c r="G887" s="944">
        <v>0</v>
      </c>
    </row>
    <row r="888" spans="1:8">
      <c r="A888" s="963" t="s">
        <v>83</v>
      </c>
      <c r="B888" s="964" t="s">
        <v>292</v>
      </c>
      <c r="C888" s="965"/>
      <c r="D888" s="915"/>
      <c r="E888" s="966"/>
      <c r="F888" s="967"/>
      <c r="G888" s="968">
        <f>+G887+G885+G881</f>
        <v>41868</v>
      </c>
    </row>
    <row r="889" spans="1:8">
      <c r="A889" s="963" t="s">
        <v>84</v>
      </c>
      <c r="B889" s="969" t="s">
        <v>293</v>
      </c>
      <c r="C889" s="912"/>
      <c r="D889" s="915"/>
      <c r="E889" s="970">
        <f>$I$2</f>
        <v>0.1</v>
      </c>
      <c r="F889" s="967"/>
      <c r="G889" s="968">
        <f>+G888*E889</f>
        <v>4186.8</v>
      </c>
    </row>
    <row r="890" spans="1:8" ht="15" thickBot="1">
      <c r="A890" s="971" t="s">
        <v>85</v>
      </c>
      <c r="B890" s="972" t="s">
        <v>86</v>
      </c>
      <c r="C890" s="973"/>
      <c r="D890" s="973"/>
      <c r="E890" s="974"/>
      <c r="F890" s="975"/>
      <c r="G890" s="976">
        <f>+G889+G888</f>
        <v>46054.8</v>
      </c>
    </row>
    <row r="891" spans="1:8" ht="8.25" customHeight="1" thickTop="1"/>
    <row r="892" spans="1:8" s="111" customFormat="1" ht="14.25" customHeight="1">
      <c r="A892" s="10"/>
      <c r="B892" s="10"/>
      <c r="C892" s="10"/>
      <c r="D892" s="10"/>
      <c r="E892" s="1004"/>
      <c r="F892" s="10"/>
      <c r="G892" s="46"/>
    </row>
    <row r="893" spans="1:8" s="111" customFormat="1" ht="14.25" customHeight="1">
      <c r="A893" s="10"/>
      <c r="B893" s="10"/>
      <c r="C893" s="10"/>
      <c r="D893" s="10"/>
      <c r="E893" s="1004"/>
      <c r="F893" s="10"/>
      <c r="G893" s="46"/>
    </row>
    <row r="894" spans="1:8" s="111" customFormat="1" ht="14.25" customHeight="1">
      <c r="A894" s="10"/>
      <c r="B894" s="10"/>
      <c r="C894" s="10"/>
      <c r="D894" s="10"/>
      <c r="E894" s="1004"/>
      <c r="F894" s="10"/>
      <c r="G894" s="46"/>
    </row>
    <row r="895" spans="1:8" s="111" customFormat="1" ht="14.25" customHeight="1">
      <c r="A895" s="10"/>
      <c r="B895" s="10"/>
      <c r="C895" s="10"/>
      <c r="D895" s="10"/>
      <c r="E895" s="1004"/>
      <c r="F895" s="10"/>
      <c r="G895" s="46"/>
    </row>
    <row r="896" spans="1:8" s="111" customFormat="1" ht="14.25" customHeight="1">
      <c r="A896" s="10"/>
      <c r="B896" s="10"/>
      <c r="C896" s="10"/>
      <c r="D896" s="10"/>
      <c r="E896" s="1004"/>
      <c r="F896" s="10"/>
      <c r="G896" s="46"/>
    </row>
    <row r="897" spans="1:7" s="111" customFormat="1" ht="14.25" customHeight="1">
      <c r="A897" s="10"/>
      <c r="B897" s="10"/>
      <c r="C897" s="10"/>
      <c r="D897" s="10"/>
      <c r="E897" s="1004"/>
      <c r="F897" s="10"/>
      <c r="G897" s="46"/>
    </row>
    <row r="898" spans="1:7" s="111" customFormat="1" ht="14.25" customHeight="1">
      <c r="A898" s="10"/>
      <c r="B898" s="10"/>
      <c r="C898" s="10"/>
      <c r="D898" s="10"/>
      <c r="E898" s="1004"/>
      <c r="F898" s="10"/>
      <c r="G898" s="46"/>
    </row>
    <row r="899" spans="1:7" s="111" customFormat="1" ht="14.25" customHeight="1">
      <c r="A899" s="10"/>
      <c r="B899" s="10"/>
      <c r="C899" s="10"/>
      <c r="D899" s="10"/>
      <c r="E899" s="1004"/>
      <c r="F899" s="10"/>
      <c r="G899" s="46"/>
    </row>
    <row r="900" spans="1:7" s="111" customFormat="1" ht="14.25" customHeight="1">
      <c r="A900" s="10"/>
      <c r="B900" s="10"/>
      <c r="C900" s="10"/>
      <c r="D900" s="10"/>
      <c r="E900" s="1004"/>
      <c r="F900" s="10"/>
      <c r="G900" s="46"/>
    </row>
    <row r="901" spans="1:7" s="111" customFormat="1" ht="14.25" customHeight="1">
      <c r="A901" s="10"/>
      <c r="B901" s="10"/>
      <c r="C901" s="10"/>
      <c r="D901" s="10"/>
      <c r="E901" s="1004"/>
      <c r="F901" s="10"/>
      <c r="G901" s="46"/>
    </row>
    <row r="902" spans="1:7" s="111" customFormat="1" ht="14.25" customHeight="1">
      <c r="A902" s="10"/>
      <c r="B902" s="10"/>
      <c r="C902" s="10"/>
      <c r="D902" s="10"/>
      <c r="E902" s="1004"/>
      <c r="F902" s="10"/>
      <c r="G902" s="46"/>
    </row>
    <row r="903" spans="1:7" ht="12" customHeight="1" thickBot="1">
      <c r="A903" s="10" t="s">
        <v>585</v>
      </c>
    </row>
    <row r="904" spans="1:7" ht="12" customHeight="1" thickTop="1">
      <c r="A904" s="1797" t="s">
        <v>275</v>
      </c>
      <c r="B904" s="1799" t="s">
        <v>295</v>
      </c>
      <c r="C904" s="1799" t="s">
        <v>276</v>
      </c>
      <c r="D904" s="1799" t="s">
        <v>277</v>
      </c>
      <c r="E904" s="1801" t="s">
        <v>278</v>
      </c>
      <c r="F904" s="916" t="s">
        <v>279</v>
      </c>
      <c r="G904" s="916" t="s">
        <v>280</v>
      </c>
    </row>
    <row r="905" spans="1:7" ht="12" customHeight="1">
      <c r="A905" s="1798"/>
      <c r="B905" s="1800"/>
      <c r="C905" s="1800"/>
      <c r="D905" s="1800"/>
      <c r="E905" s="1802"/>
      <c r="F905" s="917" t="s">
        <v>67</v>
      </c>
      <c r="G905" s="917" t="s">
        <v>67</v>
      </c>
    </row>
    <row r="906" spans="1:7" ht="12" customHeight="1">
      <c r="A906" s="918" t="s">
        <v>68</v>
      </c>
      <c r="B906" s="919" t="s">
        <v>298</v>
      </c>
      <c r="C906" s="920"/>
      <c r="D906" s="920"/>
      <c r="E906" s="921"/>
      <c r="F906" s="922"/>
      <c r="G906" s="922"/>
    </row>
    <row r="907" spans="1:7" ht="12" customHeight="1">
      <c r="A907" s="918"/>
      <c r="B907" s="923" t="s">
        <v>69</v>
      </c>
      <c r="C907" s="924" t="s">
        <v>70</v>
      </c>
      <c r="D907" s="924" t="s">
        <v>71</v>
      </c>
      <c r="E907" s="1155">
        <v>6.6699999999999995E-2</v>
      </c>
      <c r="F907" s="926">
        <f>Upah!$F$26</f>
        <v>130000</v>
      </c>
      <c r="G907" s="926">
        <f>+F907*E907</f>
        <v>8671</v>
      </c>
    </row>
    <row r="908" spans="1:7" ht="12" customHeight="1">
      <c r="A908" s="918"/>
      <c r="B908" s="1164" t="s">
        <v>59</v>
      </c>
      <c r="C908" s="993" t="s">
        <v>72</v>
      </c>
      <c r="D908" s="993" t="s">
        <v>71</v>
      </c>
      <c r="E908" s="1155">
        <v>6.6699999999999995E-2</v>
      </c>
      <c r="F908" s="995">
        <f>Upah!$F$20</f>
        <v>140000</v>
      </c>
      <c r="G908" s="926">
        <f t="shared" ref="G908:G909" si="87">+F908*E908</f>
        <v>9338</v>
      </c>
    </row>
    <row r="909" spans="1:7" ht="12" customHeight="1">
      <c r="A909" s="918"/>
      <c r="B909" s="923" t="s">
        <v>73</v>
      </c>
      <c r="C909" s="993" t="s">
        <v>74</v>
      </c>
      <c r="D909" s="993" t="s">
        <v>71</v>
      </c>
      <c r="E909" s="1155">
        <v>6.7000000000000002E-3</v>
      </c>
      <c r="F909" s="995">
        <f>Upah!$F$10</f>
        <v>150000</v>
      </c>
      <c r="G909" s="926">
        <f t="shared" si="87"/>
        <v>1005</v>
      </c>
    </row>
    <row r="910" spans="1:7" ht="12" customHeight="1">
      <c r="A910" s="918"/>
      <c r="B910" s="923" t="s">
        <v>50</v>
      </c>
      <c r="C910" s="927" t="s">
        <v>75</v>
      </c>
      <c r="D910" s="927" t="s">
        <v>71</v>
      </c>
      <c r="E910" s="1156">
        <v>2.2000000000000001E-3</v>
      </c>
      <c r="F910" s="929">
        <f>Upah!$F$8</f>
        <v>170000</v>
      </c>
      <c r="G910" s="929">
        <f>+F910*E910</f>
        <v>374</v>
      </c>
    </row>
    <row r="911" spans="1:7" ht="12" customHeight="1">
      <c r="A911" s="918"/>
      <c r="B911" s="930"/>
      <c r="C911" s="931" t="s">
        <v>632</v>
      </c>
      <c r="D911" s="932"/>
      <c r="E911" s="933"/>
      <c r="F911" s="934"/>
      <c r="G911" s="935">
        <f>SUM(G907:G910)</f>
        <v>19388</v>
      </c>
    </row>
    <row r="912" spans="1:7" ht="12" customHeight="1">
      <c r="A912" s="918" t="s">
        <v>77</v>
      </c>
      <c r="B912" s="945" t="s">
        <v>299</v>
      </c>
      <c r="C912" s="946"/>
      <c r="D912" s="946"/>
      <c r="E912" s="947"/>
      <c r="F912" s="948"/>
      <c r="G912" s="948"/>
    </row>
    <row r="913" spans="1:7" ht="12" customHeight="1">
      <c r="A913" s="1170"/>
      <c r="B913" s="1167" t="s">
        <v>363</v>
      </c>
      <c r="C913" s="1168"/>
      <c r="D913" s="1168" t="s">
        <v>268</v>
      </c>
      <c r="E913" s="1169">
        <v>0.1</v>
      </c>
      <c r="F913" s="926">
        <f>F883</f>
        <v>48000</v>
      </c>
      <c r="G913" s="926">
        <f t="shared" ref="G913:G914" si="88">+F913*E913</f>
        <v>4800</v>
      </c>
    </row>
    <row r="914" spans="1:7" ht="12" customHeight="1">
      <c r="A914" s="1170"/>
      <c r="B914" s="1167" t="s">
        <v>403</v>
      </c>
      <c r="C914" s="1168"/>
      <c r="D914" s="1168" t="s">
        <v>268</v>
      </c>
      <c r="E914" s="1169">
        <v>0.26</v>
      </c>
      <c r="F914" s="926">
        <f>Bahan!E149</f>
        <v>55000</v>
      </c>
      <c r="G914" s="926">
        <f t="shared" si="88"/>
        <v>14300</v>
      </c>
    </row>
    <row r="915" spans="1:7" ht="12" customHeight="1">
      <c r="A915" s="918"/>
      <c r="B915" s="930"/>
      <c r="C915" s="940" t="s">
        <v>642</v>
      </c>
      <c r="D915" s="941"/>
      <c r="E915" s="942"/>
      <c r="F915" s="943"/>
      <c r="G915" s="944">
        <f>SUM(G913:G914)</f>
        <v>19100</v>
      </c>
    </row>
    <row r="916" spans="1:7" ht="12" customHeight="1">
      <c r="A916" s="918" t="s">
        <v>80</v>
      </c>
      <c r="B916" s="919" t="s">
        <v>250</v>
      </c>
      <c r="C916" s="937"/>
      <c r="D916" s="946"/>
      <c r="E916" s="947"/>
      <c r="F916" s="948"/>
      <c r="G916" s="926">
        <v>0</v>
      </c>
    </row>
    <row r="917" spans="1:7" ht="12" customHeight="1">
      <c r="A917" s="960"/>
      <c r="B917" s="961"/>
      <c r="C917" s="962" t="s">
        <v>287</v>
      </c>
      <c r="D917" s="941"/>
      <c r="E917" s="942"/>
      <c r="F917" s="943"/>
      <c r="G917" s="944">
        <v>0</v>
      </c>
    </row>
    <row r="918" spans="1:7" ht="12" customHeight="1">
      <c r="A918" s="963" t="s">
        <v>83</v>
      </c>
      <c r="B918" s="964" t="s">
        <v>292</v>
      </c>
      <c r="C918" s="965"/>
      <c r="D918" s="915"/>
      <c r="E918" s="966"/>
      <c r="F918" s="967"/>
      <c r="G918" s="968">
        <f>+G917+G915+G911</f>
        <v>38488</v>
      </c>
    </row>
    <row r="919" spans="1:7" ht="12" customHeight="1">
      <c r="A919" s="963" t="s">
        <v>84</v>
      </c>
      <c r="B919" s="969" t="s">
        <v>293</v>
      </c>
      <c r="C919" s="912"/>
      <c r="D919" s="915"/>
      <c r="E919" s="970">
        <f>$I$2</f>
        <v>0.1</v>
      </c>
      <c r="F919" s="967"/>
      <c r="G919" s="968">
        <f>+G918*E919</f>
        <v>3848.8</v>
      </c>
    </row>
    <row r="920" spans="1:7" ht="12" customHeight="1" thickBot="1">
      <c r="A920" s="971" t="s">
        <v>85</v>
      </c>
      <c r="B920" s="972" t="s">
        <v>86</v>
      </c>
      <c r="C920" s="973"/>
      <c r="D920" s="973"/>
      <c r="E920" s="974"/>
      <c r="F920" s="975"/>
      <c r="G920" s="976">
        <f>+G919+G918</f>
        <v>42336.800000000003</v>
      </c>
    </row>
    <row r="921" spans="1:7" ht="12" customHeight="1" thickTop="1"/>
    <row r="922" spans="1:7" ht="12" customHeight="1" thickBot="1">
      <c r="A922" s="10" t="s">
        <v>586</v>
      </c>
    </row>
    <row r="923" spans="1:7" ht="12" customHeight="1" thickTop="1">
      <c r="A923" s="1797" t="s">
        <v>275</v>
      </c>
      <c r="B923" s="1799" t="s">
        <v>295</v>
      </c>
      <c r="C923" s="1799" t="s">
        <v>276</v>
      </c>
      <c r="D923" s="1799" t="s">
        <v>277</v>
      </c>
      <c r="E923" s="1801" t="s">
        <v>278</v>
      </c>
      <c r="F923" s="916" t="s">
        <v>279</v>
      </c>
      <c r="G923" s="916" t="s">
        <v>280</v>
      </c>
    </row>
    <row r="924" spans="1:7" ht="12" customHeight="1">
      <c r="A924" s="1798"/>
      <c r="B924" s="1800"/>
      <c r="C924" s="1800"/>
      <c r="D924" s="1800"/>
      <c r="E924" s="1802"/>
      <c r="F924" s="917" t="s">
        <v>67</v>
      </c>
      <c r="G924" s="917" t="s">
        <v>67</v>
      </c>
    </row>
    <row r="925" spans="1:7" ht="12" customHeight="1">
      <c r="A925" s="918" t="s">
        <v>68</v>
      </c>
      <c r="B925" s="919" t="s">
        <v>298</v>
      </c>
      <c r="C925" s="920"/>
      <c r="D925" s="920"/>
      <c r="E925" s="921"/>
      <c r="F925" s="922"/>
      <c r="G925" s="922"/>
    </row>
    <row r="926" spans="1:7" ht="12" customHeight="1">
      <c r="A926" s="918"/>
      <c r="B926" s="923" t="s">
        <v>69</v>
      </c>
      <c r="C926" s="924" t="s">
        <v>70</v>
      </c>
      <c r="D926" s="924" t="s">
        <v>71</v>
      </c>
      <c r="E926" s="1155">
        <v>0.05</v>
      </c>
      <c r="F926" s="926">
        <f>Upah!$F$26</f>
        <v>130000</v>
      </c>
      <c r="G926" s="926">
        <f>+F926*E926</f>
        <v>6500</v>
      </c>
    </row>
    <row r="927" spans="1:7" ht="12" customHeight="1">
      <c r="A927" s="918"/>
      <c r="B927" s="1164" t="s">
        <v>59</v>
      </c>
      <c r="C927" s="993" t="s">
        <v>72</v>
      </c>
      <c r="D927" s="993" t="s">
        <v>71</v>
      </c>
      <c r="E927" s="1155">
        <v>0.05</v>
      </c>
      <c r="F927" s="995">
        <f>Upah!$F$20</f>
        <v>140000</v>
      </c>
      <c r="G927" s="926">
        <f t="shared" ref="G927:G928" si="89">+F927*E927</f>
        <v>7000</v>
      </c>
    </row>
    <row r="928" spans="1:7" ht="12" customHeight="1">
      <c r="A928" s="918"/>
      <c r="B928" s="923" t="s">
        <v>73</v>
      </c>
      <c r="C928" s="993" t="s">
        <v>74</v>
      </c>
      <c r="D928" s="993" t="s">
        <v>71</v>
      </c>
      <c r="E928" s="1155">
        <v>5.0000000000000001E-3</v>
      </c>
      <c r="F928" s="995">
        <f>Upah!$F$10</f>
        <v>150000</v>
      </c>
      <c r="G928" s="926">
        <f t="shared" si="89"/>
        <v>750</v>
      </c>
    </row>
    <row r="929" spans="1:7" ht="12" customHeight="1">
      <c r="A929" s="918"/>
      <c r="B929" s="923" t="s">
        <v>50</v>
      </c>
      <c r="C929" s="927" t="s">
        <v>75</v>
      </c>
      <c r="D929" s="927" t="s">
        <v>71</v>
      </c>
      <c r="E929" s="1156">
        <v>1.6999999999999999E-3</v>
      </c>
      <c r="F929" s="929">
        <f>Upah!$F$8</f>
        <v>170000</v>
      </c>
      <c r="G929" s="929">
        <f>+F929*E929</f>
        <v>289</v>
      </c>
    </row>
    <row r="930" spans="1:7" ht="12" customHeight="1">
      <c r="A930" s="918"/>
      <c r="B930" s="930"/>
      <c r="C930" s="931" t="s">
        <v>632</v>
      </c>
      <c r="D930" s="932"/>
      <c r="E930" s="933"/>
      <c r="F930" s="934"/>
      <c r="G930" s="935">
        <f>SUM(G926:G929)</f>
        <v>14539</v>
      </c>
    </row>
    <row r="931" spans="1:7" ht="12" customHeight="1">
      <c r="A931" s="918" t="s">
        <v>77</v>
      </c>
      <c r="B931" s="945" t="s">
        <v>299</v>
      </c>
      <c r="C931" s="946"/>
      <c r="D931" s="946"/>
      <c r="E931" s="947"/>
      <c r="F931" s="948"/>
      <c r="G931" s="948"/>
    </row>
    <row r="932" spans="1:7" ht="12" customHeight="1">
      <c r="A932" s="1170"/>
      <c r="B932" s="1167" t="s">
        <v>363</v>
      </c>
      <c r="C932" s="1168"/>
      <c r="D932" s="1168" t="s">
        <v>268</v>
      </c>
      <c r="E932" s="1169">
        <v>0.12</v>
      </c>
      <c r="F932" s="926">
        <f>F883</f>
        <v>48000</v>
      </c>
      <c r="G932" s="926">
        <f t="shared" ref="G932:G933" si="90">+F932*E932</f>
        <v>5760</v>
      </c>
    </row>
    <row r="933" spans="1:7" ht="12" customHeight="1">
      <c r="A933" s="1170"/>
      <c r="B933" s="1167" t="s">
        <v>402</v>
      </c>
      <c r="C933" s="1168"/>
      <c r="D933" s="1168" t="s">
        <v>268</v>
      </c>
      <c r="E933" s="1169">
        <v>0.18</v>
      </c>
      <c r="F933" s="926">
        <f>F884</f>
        <v>68000</v>
      </c>
      <c r="G933" s="926">
        <f t="shared" si="90"/>
        <v>12240</v>
      </c>
    </row>
    <row r="934" spans="1:7" ht="12" customHeight="1">
      <c r="A934" s="918"/>
      <c r="B934" s="930"/>
      <c r="C934" s="940" t="s">
        <v>642</v>
      </c>
      <c r="D934" s="941"/>
      <c r="E934" s="942"/>
      <c r="F934" s="943"/>
      <c r="G934" s="944">
        <f>SUM(G932:G933)</f>
        <v>18000</v>
      </c>
    </row>
    <row r="935" spans="1:7" ht="12" customHeight="1">
      <c r="A935" s="918" t="s">
        <v>80</v>
      </c>
      <c r="B935" s="919" t="s">
        <v>250</v>
      </c>
      <c r="C935" s="937"/>
      <c r="D935" s="946"/>
      <c r="E935" s="947"/>
      <c r="F935" s="948"/>
      <c r="G935" s="926">
        <v>0</v>
      </c>
    </row>
    <row r="936" spans="1:7" ht="12" customHeight="1">
      <c r="A936" s="960"/>
      <c r="B936" s="961"/>
      <c r="C936" s="962" t="s">
        <v>287</v>
      </c>
      <c r="D936" s="941"/>
      <c r="E936" s="942"/>
      <c r="F936" s="943"/>
      <c r="G936" s="944">
        <v>0</v>
      </c>
    </row>
    <row r="937" spans="1:7" ht="12" customHeight="1">
      <c r="A937" s="963" t="s">
        <v>83</v>
      </c>
      <c r="B937" s="964" t="s">
        <v>292</v>
      </c>
      <c r="C937" s="965"/>
      <c r="D937" s="915"/>
      <c r="E937" s="966"/>
      <c r="F937" s="967"/>
      <c r="G937" s="968">
        <f>+G936+G934+G930</f>
        <v>32539</v>
      </c>
    </row>
    <row r="938" spans="1:7" ht="12" customHeight="1">
      <c r="A938" s="963" t="s">
        <v>84</v>
      </c>
      <c r="B938" s="969" t="s">
        <v>293</v>
      </c>
      <c r="C938" s="912"/>
      <c r="D938" s="915"/>
      <c r="E938" s="970">
        <f>$I$2</f>
        <v>0.1</v>
      </c>
      <c r="F938" s="967"/>
      <c r="G938" s="968">
        <f>+G937*E938</f>
        <v>3253.9</v>
      </c>
    </row>
    <row r="939" spans="1:7" ht="12" customHeight="1" thickBot="1">
      <c r="A939" s="971" t="s">
        <v>85</v>
      </c>
      <c r="B939" s="972" t="s">
        <v>86</v>
      </c>
      <c r="C939" s="973"/>
      <c r="D939" s="973"/>
      <c r="E939" s="974"/>
      <c r="F939" s="975"/>
      <c r="G939" s="976">
        <f>+G938+G937</f>
        <v>35792.9</v>
      </c>
    </row>
    <row r="940" spans="1:7" ht="12" customHeight="1" thickTop="1"/>
    <row r="941" spans="1:7" ht="12" customHeight="1" thickBot="1">
      <c r="A941" s="10" t="s">
        <v>583</v>
      </c>
    </row>
    <row r="942" spans="1:7" ht="12" customHeight="1" thickTop="1">
      <c r="A942" s="1797" t="s">
        <v>275</v>
      </c>
      <c r="B942" s="1799" t="s">
        <v>295</v>
      </c>
      <c r="C942" s="1799" t="s">
        <v>276</v>
      </c>
      <c r="D942" s="1799" t="s">
        <v>277</v>
      </c>
      <c r="E942" s="1801" t="s">
        <v>278</v>
      </c>
      <c r="F942" s="916" t="s">
        <v>279</v>
      </c>
      <c r="G942" s="916" t="s">
        <v>280</v>
      </c>
    </row>
    <row r="943" spans="1:7" ht="12" customHeight="1">
      <c r="A943" s="1798"/>
      <c r="B943" s="1800"/>
      <c r="C943" s="1800"/>
      <c r="D943" s="1800"/>
      <c r="E943" s="1802"/>
      <c r="F943" s="917" t="s">
        <v>67</v>
      </c>
      <c r="G943" s="917" t="s">
        <v>67</v>
      </c>
    </row>
    <row r="944" spans="1:7" ht="12" customHeight="1">
      <c r="A944" s="918" t="s">
        <v>68</v>
      </c>
      <c r="B944" s="919" t="s">
        <v>298</v>
      </c>
      <c r="C944" s="920"/>
      <c r="D944" s="920"/>
      <c r="E944" s="921"/>
      <c r="F944" s="922"/>
      <c r="G944" s="922"/>
    </row>
    <row r="945" spans="1:7" ht="12" customHeight="1">
      <c r="A945" s="918"/>
      <c r="B945" s="923" t="s">
        <v>69</v>
      </c>
      <c r="C945" s="924" t="s">
        <v>70</v>
      </c>
      <c r="D945" s="924" t="s">
        <v>71</v>
      </c>
      <c r="E945" s="1155">
        <v>0.05</v>
      </c>
      <c r="F945" s="926">
        <f>Upah!$F$26</f>
        <v>130000</v>
      </c>
      <c r="G945" s="926">
        <f>+F945*E945</f>
        <v>6500</v>
      </c>
    </row>
    <row r="946" spans="1:7" ht="12" customHeight="1">
      <c r="A946" s="918"/>
      <c r="B946" s="1164" t="s">
        <v>59</v>
      </c>
      <c r="C946" s="993" t="s">
        <v>72</v>
      </c>
      <c r="D946" s="993" t="s">
        <v>71</v>
      </c>
      <c r="E946" s="1155">
        <v>0.05</v>
      </c>
      <c r="F946" s="995">
        <f>Upah!$F$20</f>
        <v>140000</v>
      </c>
      <c r="G946" s="926">
        <f t="shared" ref="G946:G947" si="91">+F946*E946</f>
        <v>7000</v>
      </c>
    </row>
    <row r="947" spans="1:7" ht="12" customHeight="1">
      <c r="A947" s="918"/>
      <c r="B947" s="923" t="s">
        <v>73</v>
      </c>
      <c r="C947" s="993" t="s">
        <v>74</v>
      </c>
      <c r="D947" s="993" t="s">
        <v>71</v>
      </c>
      <c r="E947" s="1155">
        <v>5.0000000000000001E-3</v>
      </c>
      <c r="F947" s="995">
        <f>Upah!$F$10</f>
        <v>150000</v>
      </c>
      <c r="G947" s="926">
        <f t="shared" si="91"/>
        <v>750</v>
      </c>
    </row>
    <row r="948" spans="1:7" ht="12" customHeight="1">
      <c r="A948" s="918"/>
      <c r="B948" s="923" t="s">
        <v>50</v>
      </c>
      <c r="C948" s="927" t="s">
        <v>75</v>
      </c>
      <c r="D948" s="927" t="s">
        <v>71</v>
      </c>
      <c r="E948" s="1156">
        <v>1.6999999999999999E-3</v>
      </c>
      <c r="F948" s="929">
        <f>Upah!$F$8</f>
        <v>170000</v>
      </c>
      <c r="G948" s="929">
        <f>+F948*E948</f>
        <v>289</v>
      </c>
    </row>
    <row r="949" spans="1:7" ht="12" customHeight="1">
      <c r="A949" s="918"/>
      <c r="B949" s="930"/>
      <c r="C949" s="931" t="s">
        <v>632</v>
      </c>
      <c r="D949" s="932"/>
      <c r="E949" s="933"/>
      <c r="F949" s="934"/>
      <c r="G949" s="935">
        <f>SUM(G945:G948)</f>
        <v>14539</v>
      </c>
    </row>
    <row r="950" spans="1:7" ht="12" customHeight="1">
      <c r="A950" s="918" t="s">
        <v>77</v>
      </c>
      <c r="B950" s="945" t="s">
        <v>299</v>
      </c>
      <c r="C950" s="946"/>
      <c r="D950" s="946"/>
      <c r="E950" s="947"/>
      <c r="F950" s="948"/>
      <c r="G950" s="948"/>
    </row>
    <row r="951" spans="1:7" ht="12" customHeight="1">
      <c r="A951" s="1170"/>
      <c r="B951" s="1167" t="s">
        <v>363</v>
      </c>
      <c r="C951" s="1168"/>
      <c r="D951" s="1168" t="s">
        <v>268</v>
      </c>
      <c r="E951" s="1169">
        <v>0.12</v>
      </c>
      <c r="F951" s="926">
        <f>F913</f>
        <v>48000</v>
      </c>
      <c r="G951" s="926">
        <f t="shared" ref="G951:G952" si="92">+F951*E951</f>
        <v>5760</v>
      </c>
    </row>
    <row r="952" spans="1:7" ht="12" customHeight="1">
      <c r="A952" s="1170"/>
      <c r="B952" s="1167" t="s">
        <v>403</v>
      </c>
      <c r="C952" s="1168"/>
      <c r="D952" s="1168" t="s">
        <v>268</v>
      </c>
      <c r="E952" s="1169">
        <v>0.18</v>
      </c>
      <c r="F952" s="926">
        <f>F914</f>
        <v>55000</v>
      </c>
      <c r="G952" s="926">
        <f t="shared" si="92"/>
        <v>9900</v>
      </c>
    </row>
    <row r="953" spans="1:7" ht="12" customHeight="1">
      <c r="A953" s="918"/>
      <c r="B953" s="930"/>
      <c r="C953" s="940" t="s">
        <v>642</v>
      </c>
      <c r="D953" s="941"/>
      <c r="E953" s="942"/>
      <c r="F953" s="943"/>
      <c r="G953" s="944">
        <f>SUM(G951:G952)</f>
        <v>15660</v>
      </c>
    </row>
    <row r="954" spans="1:7" ht="12" customHeight="1">
      <c r="A954" s="918" t="s">
        <v>80</v>
      </c>
      <c r="B954" s="919" t="s">
        <v>250</v>
      </c>
      <c r="C954" s="937"/>
      <c r="D954" s="946"/>
      <c r="E954" s="947"/>
      <c r="F954" s="948"/>
      <c r="G954" s="926">
        <v>0</v>
      </c>
    </row>
    <row r="955" spans="1:7" ht="12" customHeight="1">
      <c r="A955" s="960"/>
      <c r="B955" s="961"/>
      <c r="C955" s="962" t="s">
        <v>287</v>
      </c>
      <c r="D955" s="941"/>
      <c r="E955" s="942"/>
      <c r="F955" s="943"/>
      <c r="G955" s="944">
        <v>0</v>
      </c>
    </row>
    <row r="956" spans="1:7" ht="12" customHeight="1">
      <c r="A956" s="963" t="s">
        <v>83</v>
      </c>
      <c r="B956" s="964" t="s">
        <v>292</v>
      </c>
      <c r="C956" s="965"/>
      <c r="D956" s="915"/>
      <c r="E956" s="966"/>
      <c r="F956" s="967"/>
      <c r="G956" s="968">
        <f>+G955+G953+G949</f>
        <v>30199</v>
      </c>
    </row>
    <row r="957" spans="1:7" ht="12" customHeight="1">
      <c r="A957" s="963" t="s">
        <v>84</v>
      </c>
      <c r="B957" s="969" t="s">
        <v>293</v>
      </c>
      <c r="C957" s="912"/>
      <c r="D957" s="915"/>
      <c r="E957" s="970">
        <f>$I$2</f>
        <v>0.1</v>
      </c>
      <c r="F957" s="967"/>
      <c r="G957" s="968">
        <f>+G956*E957</f>
        <v>3019.9</v>
      </c>
    </row>
    <row r="958" spans="1:7" ht="12" customHeight="1" thickBot="1">
      <c r="A958" s="971" t="s">
        <v>85</v>
      </c>
      <c r="B958" s="972" t="s">
        <v>86</v>
      </c>
      <c r="C958" s="973"/>
      <c r="D958" s="973"/>
      <c r="E958" s="974"/>
      <c r="F958" s="975"/>
      <c r="G958" s="976">
        <f>+G957+G956</f>
        <v>33218.9</v>
      </c>
    </row>
    <row r="959" spans="1:7" ht="12" customHeight="1" thickTop="1"/>
    <row r="960" spans="1:7" ht="12" customHeight="1" thickBot="1">
      <c r="A960" s="10" t="s">
        <v>587</v>
      </c>
    </row>
    <row r="961" spans="1:7" ht="12" customHeight="1" thickTop="1">
      <c r="A961" s="1797" t="s">
        <v>275</v>
      </c>
      <c r="B961" s="1799" t="s">
        <v>295</v>
      </c>
      <c r="C961" s="1799" t="s">
        <v>276</v>
      </c>
      <c r="D961" s="1799" t="s">
        <v>277</v>
      </c>
      <c r="E961" s="1801" t="s">
        <v>278</v>
      </c>
      <c r="F961" s="916" t="s">
        <v>279</v>
      </c>
      <c r="G961" s="916" t="s">
        <v>280</v>
      </c>
    </row>
    <row r="962" spans="1:7" ht="12" customHeight="1">
      <c r="A962" s="1798"/>
      <c r="B962" s="1800"/>
      <c r="C962" s="1800"/>
      <c r="D962" s="1800"/>
      <c r="E962" s="1802"/>
      <c r="F962" s="917" t="s">
        <v>67</v>
      </c>
      <c r="G962" s="917" t="s">
        <v>67</v>
      </c>
    </row>
    <row r="963" spans="1:7" ht="12" customHeight="1">
      <c r="A963" s="918" t="s">
        <v>68</v>
      </c>
      <c r="B963" s="919" t="s">
        <v>298</v>
      </c>
      <c r="C963" s="920"/>
      <c r="D963" s="920"/>
      <c r="E963" s="921"/>
      <c r="F963" s="922"/>
      <c r="G963" s="922"/>
    </row>
    <row r="964" spans="1:7" ht="12" customHeight="1">
      <c r="A964" s="918"/>
      <c r="B964" s="923" t="s">
        <v>69</v>
      </c>
      <c r="C964" s="924" t="s">
        <v>70</v>
      </c>
      <c r="D964" s="924" t="s">
        <v>71</v>
      </c>
      <c r="E964" s="1155">
        <v>6.25E-2</v>
      </c>
      <c r="F964" s="926">
        <f>Upah!$F$26</f>
        <v>130000</v>
      </c>
      <c r="G964" s="926">
        <f>+F964*E964</f>
        <v>8125</v>
      </c>
    </row>
    <row r="965" spans="1:7" ht="12" customHeight="1">
      <c r="A965" s="918"/>
      <c r="B965" s="1164" t="s">
        <v>59</v>
      </c>
      <c r="C965" s="993" t="s">
        <v>72</v>
      </c>
      <c r="D965" s="993" t="s">
        <v>71</v>
      </c>
      <c r="E965" s="1155">
        <v>6.25E-2</v>
      </c>
      <c r="F965" s="995">
        <f>Upah!$F$20</f>
        <v>140000</v>
      </c>
      <c r="G965" s="926">
        <f t="shared" ref="G965:G966" si="93">+F965*E965</f>
        <v>8750</v>
      </c>
    </row>
    <row r="966" spans="1:7" ht="12" customHeight="1">
      <c r="A966" s="918"/>
      <c r="B966" s="923" t="s">
        <v>73</v>
      </c>
      <c r="C966" s="993" t="s">
        <v>74</v>
      </c>
      <c r="D966" s="993" t="s">
        <v>71</v>
      </c>
      <c r="E966" s="1155">
        <v>6.3E-3</v>
      </c>
      <c r="F966" s="995">
        <f>Upah!$F$10</f>
        <v>150000</v>
      </c>
      <c r="G966" s="926">
        <f t="shared" si="93"/>
        <v>945</v>
      </c>
    </row>
    <row r="967" spans="1:7" ht="12" customHeight="1">
      <c r="A967" s="918"/>
      <c r="B967" s="923" t="s">
        <v>50</v>
      </c>
      <c r="C967" s="927" t="s">
        <v>75</v>
      </c>
      <c r="D967" s="927" t="s">
        <v>71</v>
      </c>
      <c r="E967" s="1156">
        <v>2.0999999999999999E-3</v>
      </c>
      <c r="F967" s="929">
        <f>Upah!$F$8</f>
        <v>170000</v>
      </c>
      <c r="G967" s="929">
        <f>+F967*E967</f>
        <v>357</v>
      </c>
    </row>
    <row r="968" spans="1:7" ht="12" customHeight="1">
      <c r="A968" s="918"/>
      <c r="B968" s="930"/>
      <c r="C968" s="931" t="s">
        <v>632</v>
      </c>
      <c r="D968" s="932"/>
      <c r="E968" s="933"/>
      <c r="F968" s="934"/>
      <c r="G968" s="935">
        <f>SUM(G964:G967)</f>
        <v>18177</v>
      </c>
    </row>
    <row r="969" spans="1:7" ht="12" customHeight="1">
      <c r="A969" s="918" t="s">
        <v>77</v>
      </c>
      <c r="B969" s="945" t="s">
        <v>299</v>
      </c>
      <c r="C969" s="946"/>
      <c r="D969" s="946"/>
      <c r="E969" s="947"/>
      <c r="F969" s="948"/>
      <c r="G969" s="948"/>
    </row>
    <row r="970" spans="1:7" ht="12" customHeight="1">
      <c r="A970" s="1170"/>
      <c r="B970" s="1167" t="s">
        <v>363</v>
      </c>
      <c r="C970" s="1168"/>
      <c r="D970" s="1168" t="s">
        <v>268</v>
      </c>
      <c r="E970" s="1169">
        <v>0.12</v>
      </c>
      <c r="F970" s="926">
        <f>F932</f>
        <v>48000</v>
      </c>
      <c r="G970" s="926">
        <f t="shared" ref="G970:G971" si="94">+F970*E970</f>
        <v>5760</v>
      </c>
    </row>
    <row r="971" spans="1:7" ht="12" customHeight="1">
      <c r="A971" s="1170"/>
      <c r="B971" s="1167" t="s">
        <v>402</v>
      </c>
      <c r="C971" s="1168"/>
      <c r="D971" s="1168" t="s">
        <v>268</v>
      </c>
      <c r="E971" s="1169">
        <v>0.18</v>
      </c>
      <c r="F971" s="926">
        <f>F933</f>
        <v>68000</v>
      </c>
      <c r="G971" s="926">
        <f t="shared" si="94"/>
        <v>12240</v>
      </c>
    </row>
    <row r="972" spans="1:7" ht="12" customHeight="1">
      <c r="A972" s="918"/>
      <c r="B972" s="930"/>
      <c r="C972" s="940" t="s">
        <v>642</v>
      </c>
      <c r="D972" s="941"/>
      <c r="E972" s="942"/>
      <c r="F972" s="943"/>
      <c r="G972" s="944">
        <f>SUM(G970:G971)</f>
        <v>18000</v>
      </c>
    </row>
    <row r="973" spans="1:7" ht="12" customHeight="1">
      <c r="A973" s="918" t="s">
        <v>80</v>
      </c>
      <c r="B973" s="919" t="s">
        <v>250</v>
      </c>
      <c r="C973" s="937"/>
      <c r="D973" s="946"/>
      <c r="E973" s="947"/>
      <c r="F973" s="948"/>
      <c r="G973" s="926">
        <v>0</v>
      </c>
    </row>
    <row r="974" spans="1:7" ht="12" customHeight="1">
      <c r="A974" s="960"/>
      <c r="B974" s="961"/>
      <c r="C974" s="962" t="s">
        <v>287</v>
      </c>
      <c r="D974" s="941"/>
      <c r="E974" s="942"/>
      <c r="F974" s="943"/>
      <c r="G974" s="944">
        <v>0</v>
      </c>
    </row>
    <row r="975" spans="1:7" ht="12" customHeight="1">
      <c r="A975" s="963" t="s">
        <v>83</v>
      </c>
      <c r="B975" s="964" t="s">
        <v>292</v>
      </c>
      <c r="C975" s="965"/>
      <c r="D975" s="915"/>
      <c r="E975" s="966"/>
      <c r="F975" s="967"/>
      <c r="G975" s="968">
        <f>+G974+G972+G968</f>
        <v>36177</v>
      </c>
    </row>
    <row r="976" spans="1:7" ht="12" customHeight="1">
      <c r="A976" s="963" t="s">
        <v>84</v>
      </c>
      <c r="B976" s="969" t="s">
        <v>293</v>
      </c>
      <c r="C976" s="912"/>
      <c r="D976" s="915"/>
      <c r="E976" s="970">
        <f>$I$2</f>
        <v>0.1</v>
      </c>
      <c r="F976" s="967"/>
      <c r="G976" s="968">
        <f>+G975*E976</f>
        <v>3617.7000000000003</v>
      </c>
    </row>
    <row r="977" spans="1:8" ht="12" customHeight="1" thickBot="1">
      <c r="A977" s="971" t="s">
        <v>85</v>
      </c>
      <c r="B977" s="972" t="s">
        <v>86</v>
      </c>
      <c r="C977" s="973"/>
      <c r="D977" s="973"/>
      <c r="E977" s="974"/>
      <c r="F977" s="975"/>
      <c r="G977" s="976">
        <f>+G976+G975</f>
        <v>39794.699999999997</v>
      </c>
    </row>
    <row r="978" spans="1:8" ht="12" customHeight="1" thickTop="1"/>
    <row r="979" spans="1:8" s="111" customFormat="1" ht="12" customHeight="1">
      <c r="A979" s="10"/>
      <c r="B979" s="10"/>
      <c r="C979" s="10"/>
      <c r="D979" s="10"/>
      <c r="E979" s="1004"/>
      <c r="F979" s="10"/>
      <c r="G979" s="46"/>
    </row>
    <row r="980" spans="1:8" s="111" customFormat="1" ht="12" customHeight="1">
      <c r="A980" s="10"/>
      <c r="B980" s="10"/>
      <c r="C980" s="10"/>
      <c r="D980" s="10"/>
      <c r="E980" s="1004"/>
      <c r="F980" s="10"/>
      <c r="G980" s="46"/>
    </row>
    <row r="981" spans="1:8" s="111" customFormat="1" ht="12" customHeight="1">
      <c r="A981" s="10"/>
      <c r="B981" s="10"/>
      <c r="C981" s="10"/>
      <c r="D981" s="10"/>
      <c r="E981" s="1004"/>
      <c r="F981" s="10"/>
      <c r="G981" s="46"/>
    </row>
    <row r="982" spans="1:8" s="111" customFormat="1" ht="12" customHeight="1">
      <c r="A982" s="10"/>
      <c r="B982" s="10"/>
      <c r="C982" s="10"/>
      <c r="D982" s="10"/>
      <c r="E982" s="1004"/>
      <c r="F982" s="10"/>
      <c r="G982" s="46"/>
    </row>
    <row r="983" spans="1:8" s="111" customFormat="1" ht="12" customHeight="1">
      <c r="A983" s="10"/>
      <c r="B983" s="10"/>
      <c r="C983" s="10"/>
      <c r="D983" s="10"/>
      <c r="E983" s="1004"/>
      <c r="F983" s="10"/>
      <c r="G983" s="46"/>
    </row>
    <row r="984" spans="1:8" s="111" customFormat="1" ht="12" customHeight="1">
      <c r="A984" s="10"/>
      <c r="B984" s="10"/>
      <c r="C984" s="10"/>
      <c r="D984" s="10"/>
      <c r="E984" s="1004"/>
      <c r="F984" s="10"/>
      <c r="G984" s="46"/>
    </row>
    <row r="985" spans="1:8" s="111" customFormat="1" ht="12" customHeight="1">
      <c r="A985" s="10"/>
      <c r="B985" s="10"/>
      <c r="C985" s="10"/>
      <c r="D985" s="10"/>
      <c r="E985" s="1004"/>
      <c r="F985" s="10"/>
      <c r="G985" s="46"/>
    </row>
    <row r="986" spans="1:8" s="413" customFormat="1" ht="11.25" customHeight="1">
      <c r="A986" s="10" t="s">
        <v>404</v>
      </c>
      <c r="B986" s="10"/>
      <c r="C986" s="10"/>
      <c r="D986" s="10"/>
      <c r="E986" s="1004"/>
      <c r="F986" s="10"/>
      <c r="G986" s="46"/>
    </row>
    <row r="987" spans="1:8" s="413" customFormat="1" ht="11.25" customHeight="1">
      <c r="A987" s="10" t="s">
        <v>405</v>
      </c>
      <c r="B987" s="10"/>
      <c r="C987" s="10"/>
      <c r="D987" s="10"/>
      <c r="E987" s="1004"/>
      <c r="F987" s="10"/>
      <c r="G987" s="46"/>
    </row>
    <row r="988" spans="1:8" s="413" customFormat="1" ht="11.25" customHeight="1" thickBot="1">
      <c r="A988" s="10" t="s">
        <v>593</v>
      </c>
      <c r="B988" s="10"/>
      <c r="C988" s="10"/>
      <c r="D988" s="10"/>
      <c r="E988" s="1004"/>
      <c r="F988" s="10"/>
      <c r="G988" s="46"/>
      <c r="H988" s="413" t="s">
        <v>590</v>
      </c>
    </row>
    <row r="989" spans="1:8" s="413" customFormat="1" ht="11.25" customHeight="1" thickTop="1">
      <c r="A989" s="1797" t="s">
        <v>275</v>
      </c>
      <c r="B989" s="1799" t="s">
        <v>295</v>
      </c>
      <c r="C989" s="1799" t="s">
        <v>276</v>
      </c>
      <c r="D989" s="1799" t="s">
        <v>277</v>
      </c>
      <c r="E989" s="1801" t="s">
        <v>278</v>
      </c>
      <c r="F989" s="916" t="s">
        <v>279</v>
      </c>
      <c r="G989" s="916" t="s">
        <v>280</v>
      </c>
    </row>
    <row r="990" spans="1:8" s="413" customFormat="1" ht="11.25" customHeight="1">
      <c r="A990" s="1798"/>
      <c r="B990" s="1800"/>
      <c r="C990" s="1800"/>
      <c r="D990" s="1800"/>
      <c r="E990" s="1802"/>
      <c r="F990" s="917" t="s">
        <v>67</v>
      </c>
      <c r="G990" s="917" t="s">
        <v>67</v>
      </c>
    </row>
    <row r="991" spans="1:8" s="413" customFormat="1" ht="11.25" customHeight="1">
      <c r="A991" s="918" t="s">
        <v>68</v>
      </c>
      <c r="B991" s="919" t="s">
        <v>298</v>
      </c>
      <c r="C991" s="920"/>
      <c r="D991" s="920"/>
      <c r="E991" s="921"/>
      <c r="F991" s="922"/>
      <c r="G991" s="922"/>
    </row>
    <row r="992" spans="1:8" s="413" customFormat="1" ht="11.25" customHeight="1">
      <c r="A992" s="918"/>
      <c r="B992" s="923" t="s">
        <v>69</v>
      </c>
      <c r="C992" s="924" t="s">
        <v>70</v>
      </c>
      <c r="D992" s="924" t="s">
        <v>71</v>
      </c>
      <c r="E992" s="1155">
        <v>0.25</v>
      </c>
      <c r="F992" s="926">
        <f>Upah!$F$26</f>
        <v>130000</v>
      </c>
      <c r="G992" s="926">
        <f>+F992*E992</f>
        <v>32500</v>
      </c>
      <c r="H992" s="413">
        <v>0.25</v>
      </c>
    </row>
    <row r="993" spans="1:9" s="413" customFormat="1" ht="11.25" customHeight="1">
      <c r="A993" s="918"/>
      <c r="B993" s="1164" t="s">
        <v>54</v>
      </c>
      <c r="C993" s="993" t="s">
        <v>72</v>
      </c>
      <c r="D993" s="993" t="s">
        <v>71</v>
      </c>
      <c r="E993" s="1155">
        <v>8.3299999999999999E-2</v>
      </c>
      <c r="F993" s="995">
        <f>Upah!$F$17</f>
        <v>140000</v>
      </c>
      <c r="G993" s="926">
        <f t="shared" ref="G993:G994" si="95">+F993*E993</f>
        <v>11662</v>
      </c>
      <c r="H993" s="413">
        <v>8.3299999999999999E-2</v>
      </c>
    </row>
    <row r="994" spans="1:9" s="413" customFormat="1" ht="11.25" customHeight="1">
      <c r="A994" s="918"/>
      <c r="B994" s="923" t="s">
        <v>73</v>
      </c>
      <c r="C994" s="993" t="s">
        <v>74</v>
      </c>
      <c r="D994" s="993" t="s">
        <v>71</v>
      </c>
      <c r="E994" s="1155">
        <v>8.3000000000000001E-3</v>
      </c>
      <c r="F994" s="995">
        <f>Upah!$F$10</f>
        <v>150000</v>
      </c>
      <c r="G994" s="926">
        <f t="shared" si="95"/>
        <v>1245</v>
      </c>
      <c r="H994" s="413">
        <v>8.3000000000000001E-3</v>
      </c>
    </row>
    <row r="995" spans="1:9" s="413" customFormat="1" ht="11.25" customHeight="1">
      <c r="A995" s="918"/>
      <c r="B995" s="923" t="s">
        <v>50</v>
      </c>
      <c r="C995" s="927" t="s">
        <v>75</v>
      </c>
      <c r="D995" s="927" t="s">
        <v>71</v>
      </c>
      <c r="E995" s="1156">
        <v>2.8E-3</v>
      </c>
      <c r="F995" s="929">
        <f>Upah!$F$8</f>
        <v>170000</v>
      </c>
      <c r="G995" s="929">
        <f>+F995*E995</f>
        <v>476</v>
      </c>
      <c r="H995" s="413">
        <v>2.8E-3</v>
      </c>
    </row>
    <row r="996" spans="1:9" s="413" customFormat="1" ht="11.25" customHeight="1">
      <c r="A996" s="918"/>
      <c r="B996" s="930"/>
      <c r="C996" s="931" t="s">
        <v>632</v>
      </c>
      <c r="D996" s="932"/>
      <c r="E996" s="933"/>
      <c r="F996" s="934"/>
      <c r="G996" s="935">
        <f>SUM(G992:G995)</f>
        <v>45883</v>
      </c>
    </row>
    <row r="997" spans="1:9" s="413" customFormat="1" ht="11.25" customHeight="1">
      <c r="A997" s="918" t="s">
        <v>77</v>
      </c>
      <c r="B997" s="945" t="s">
        <v>299</v>
      </c>
      <c r="C997" s="946"/>
      <c r="D997" s="946"/>
      <c r="E997" s="947"/>
      <c r="F997" s="948"/>
      <c r="G997" s="948"/>
    </row>
    <row r="998" spans="1:9" s="413" customFormat="1" ht="11.25" customHeight="1">
      <c r="A998" s="1170"/>
      <c r="B998" s="1167" t="s">
        <v>594</v>
      </c>
      <c r="C998" s="1168"/>
      <c r="D998" s="1168" t="s">
        <v>291</v>
      </c>
      <c r="E998" s="1169">
        <v>2.9169999999999998</v>
      </c>
      <c r="F998" s="926">
        <f>Bahan!$E$204/3</f>
        <v>45000</v>
      </c>
      <c r="G998" s="926">
        <f t="shared" ref="G998:G1000" si="96">+F998*E998</f>
        <v>131265</v>
      </c>
      <c r="H998" s="413">
        <v>2.9169999999999998</v>
      </c>
      <c r="I998" s="413">
        <f>F998*E998</f>
        <v>131265</v>
      </c>
    </row>
    <row r="999" spans="1:9" s="413" customFormat="1" ht="11.25" customHeight="1">
      <c r="A999" s="1170"/>
      <c r="B999" s="1176" t="s">
        <v>87</v>
      </c>
      <c r="C999" s="1177"/>
      <c r="D999" s="1177" t="s">
        <v>268</v>
      </c>
      <c r="E999" s="1178">
        <v>13.632</v>
      </c>
      <c r="F999" s="926">
        <f>Bahan!$E$286</f>
        <v>1450</v>
      </c>
      <c r="G999" s="926">
        <f t="shared" si="96"/>
        <v>19766.399999999998</v>
      </c>
      <c r="H999" s="413">
        <v>13.632</v>
      </c>
    </row>
    <row r="1000" spans="1:9" s="413" customFormat="1" ht="11.25" customHeight="1">
      <c r="A1000" s="1170"/>
      <c r="B1000" s="1176" t="s">
        <v>155</v>
      </c>
      <c r="C1000" s="1177"/>
      <c r="D1000" s="1177" t="s">
        <v>268</v>
      </c>
      <c r="E1000" s="1178">
        <v>1.5</v>
      </c>
      <c r="F1000" s="926">
        <f>Bahan!$E$285</f>
        <v>18000</v>
      </c>
      <c r="G1000" s="926">
        <f t="shared" si="96"/>
        <v>27000</v>
      </c>
      <c r="H1000" s="413">
        <v>1.5</v>
      </c>
    </row>
    <row r="1001" spans="1:9" s="413" customFormat="1" ht="11.25" customHeight="1">
      <c r="A1001" s="1170"/>
      <c r="B1001" s="1167" t="s">
        <v>88</v>
      </c>
      <c r="C1001" s="1168"/>
      <c r="D1001" s="1168" t="s">
        <v>270</v>
      </c>
      <c r="E1001" s="1169">
        <v>2.7E-2</v>
      </c>
      <c r="F1001" s="926">
        <f>Bahan!$E$106</f>
        <v>270000</v>
      </c>
      <c r="G1001" s="926">
        <f t="shared" ref="G1001" si="97">+F1001*E1001</f>
        <v>7290</v>
      </c>
      <c r="H1001" s="413">
        <v>2.7E-2</v>
      </c>
    </row>
    <row r="1002" spans="1:9" s="413" customFormat="1" ht="11.25" customHeight="1">
      <c r="A1002" s="918"/>
      <c r="B1002" s="930"/>
      <c r="C1002" s="940" t="s">
        <v>642</v>
      </c>
      <c r="D1002" s="941"/>
      <c r="E1002" s="942"/>
      <c r="F1002" s="943"/>
      <c r="G1002" s="944">
        <f>SUM(G998:G1001)</f>
        <v>185321.4</v>
      </c>
    </row>
    <row r="1003" spans="1:9" s="413" customFormat="1" ht="11.25" customHeight="1">
      <c r="A1003" s="918" t="s">
        <v>80</v>
      </c>
      <c r="B1003" s="919" t="s">
        <v>250</v>
      </c>
      <c r="C1003" s="937"/>
      <c r="D1003" s="946"/>
      <c r="E1003" s="947"/>
      <c r="F1003" s="948"/>
      <c r="G1003" s="926">
        <v>0</v>
      </c>
    </row>
    <row r="1004" spans="1:9" s="413" customFormat="1" ht="11.25" customHeight="1">
      <c r="A1004" s="960"/>
      <c r="B1004" s="961"/>
      <c r="C1004" s="962" t="s">
        <v>287</v>
      </c>
      <c r="D1004" s="941"/>
      <c r="E1004" s="942"/>
      <c r="F1004" s="943"/>
      <c r="G1004" s="944">
        <v>0</v>
      </c>
    </row>
    <row r="1005" spans="1:9" s="413" customFormat="1" ht="11.25" customHeight="1">
      <c r="A1005" s="963" t="s">
        <v>83</v>
      </c>
      <c r="B1005" s="964" t="s">
        <v>292</v>
      </c>
      <c r="C1005" s="965"/>
      <c r="D1005" s="915"/>
      <c r="E1005" s="966"/>
      <c r="F1005" s="967"/>
      <c r="G1005" s="968">
        <f>+G1004+G1002+G996</f>
        <v>231204.4</v>
      </c>
      <c r="I1005" s="413">
        <f>1.5+3</f>
        <v>4.5</v>
      </c>
    </row>
    <row r="1006" spans="1:9" s="413" customFormat="1" ht="11.25" customHeight="1">
      <c r="A1006" s="963" t="s">
        <v>84</v>
      </c>
      <c r="B1006" s="969" t="s">
        <v>293</v>
      </c>
      <c r="C1006" s="912"/>
      <c r="D1006" s="915"/>
      <c r="E1006" s="970">
        <f>$I$2</f>
        <v>0.1</v>
      </c>
      <c r="F1006" s="967"/>
      <c r="G1006" s="968">
        <f>+G1005*E1006</f>
        <v>23120.440000000002</v>
      </c>
      <c r="I1006" s="413">
        <f>I1005/1.2</f>
        <v>3.75</v>
      </c>
    </row>
    <row r="1007" spans="1:9" s="413" customFormat="1" ht="11.25" customHeight="1" thickBot="1">
      <c r="A1007" s="971" t="s">
        <v>85</v>
      </c>
      <c r="B1007" s="972" t="s">
        <v>86</v>
      </c>
      <c r="C1007" s="973"/>
      <c r="D1007" s="973"/>
      <c r="E1007" s="974"/>
      <c r="F1007" s="975"/>
      <c r="G1007" s="976">
        <f>+G1006+G1005</f>
        <v>254324.84</v>
      </c>
    </row>
    <row r="1008" spans="1:9" ht="11.25" customHeight="1" thickTop="1"/>
    <row r="1009" spans="1:9" s="413" customFormat="1" ht="12.75" customHeight="1" thickBot="1">
      <c r="A1009" s="10" t="s">
        <v>609</v>
      </c>
      <c r="B1009" s="10"/>
      <c r="C1009" s="10"/>
      <c r="D1009" s="10"/>
      <c r="E1009" s="1004"/>
      <c r="F1009" s="10"/>
      <c r="G1009" s="46"/>
    </row>
    <row r="1010" spans="1:9" s="413" customFormat="1" ht="11.25" customHeight="1" thickTop="1">
      <c r="A1010" s="1797" t="s">
        <v>275</v>
      </c>
      <c r="B1010" s="1799" t="s">
        <v>295</v>
      </c>
      <c r="C1010" s="1799" t="s">
        <v>276</v>
      </c>
      <c r="D1010" s="1799" t="s">
        <v>277</v>
      </c>
      <c r="E1010" s="1801" t="s">
        <v>278</v>
      </c>
      <c r="F1010" s="916" t="s">
        <v>279</v>
      </c>
      <c r="G1010" s="916" t="s">
        <v>280</v>
      </c>
    </row>
    <row r="1011" spans="1:9" s="413" customFormat="1" ht="11.25" customHeight="1">
      <c r="A1011" s="1798"/>
      <c r="B1011" s="1800"/>
      <c r="C1011" s="1800"/>
      <c r="D1011" s="1800"/>
      <c r="E1011" s="1802"/>
      <c r="F1011" s="917" t="s">
        <v>67</v>
      </c>
      <c r="G1011" s="917" t="s">
        <v>67</v>
      </c>
    </row>
    <row r="1012" spans="1:9" s="413" customFormat="1" ht="11.25" customHeight="1">
      <c r="A1012" s="918" t="s">
        <v>68</v>
      </c>
      <c r="B1012" s="919" t="s">
        <v>298</v>
      </c>
      <c r="C1012" s="920"/>
      <c r="D1012" s="920"/>
      <c r="E1012" s="921"/>
      <c r="F1012" s="922"/>
      <c r="G1012" s="922"/>
    </row>
    <row r="1013" spans="1:9" s="413" customFormat="1" ht="11.25" customHeight="1">
      <c r="A1013" s="918"/>
      <c r="B1013" s="923" t="s">
        <v>69</v>
      </c>
      <c r="C1013" s="924" t="s">
        <v>70</v>
      </c>
      <c r="D1013" s="924" t="s">
        <v>71</v>
      </c>
      <c r="E1013" s="1155">
        <v>0.25</v>
      </c>
      <c r="F1013" s="926">
        <f>Upah!$F$26</f>
        <v>130000</v>
      </c>
      <c r="G1013" s="926">
        <f>+F1013*E1013</f>
        <v>32500</v>
      </c>
    </row>
    <row r="1014" spans="1:9" s="413" customFormat="1" ht="11.25" customHeight="1">
      <c r="A1014" s="918"/>
      <c r="B1014" s="1164" t="s">
        <v>54</v>
      </c>
      <c r="C1014" s="993" t="s">
        <v>72</v>
      </c>
      <c r="D1014" s="993" t="s">
        <v>71</v>
      </c>
      <c r="E1014" s="1155">
        <v>8.3299999999999999E-2</v>
      </c>
      <c r="F1014" s="995">
        <f>Upah!$F$17</f>
        <v>140000</v>
      </c>
      <c r="G1014" s="926">
        <f t="shared" ref="G1014:G1015" si="98">+F1014*E1014</f>
        <v>11662</v>
      </c>
    </row>
    <row r="1015" spans="1:9" s="413" customFormat="1" ht="11.25" customHeight="1">
      <c r="A1015" s="918"/>
      <c r="B1015" s="923" t="s">
        <v>73</v>
      </c>
      <c r="C1015" s="993" t="s">
        <v>74</v>
      </c>
      <c r="D1015" s="993" t="s">
        <v>71</v>
      </c>
      <c r="E1015" s="1155">
        <v>8.3000000000000001E-3</v>
      </c>
      <c r="F1015" s="995">
        <f>Upah!$F$10</f>
        <v>150000</v>
      </c>
      <c r="G1015" s="926">
        <f t="shared" si="98"/>
        <v>1245</v>
      </c>
    </row>
    <row r="1016" spans="1:9" s="413" customFormat="1" ht="11.25" customHeight="1">
      <c r="A1016" s="918"/>
      <c r="B1016" s="923" t="s">
        <v>50</v>
      </c>
      <c r="C1016" s="927" t="s">
        <v>75</v>
      </c>
      <c r="D1016" s="927" t="s">
        <v>71</v>
      </c>
      <c r="E1016" s="1156">
        <f>E1001</f>
        <v>2.7E-2</v>
      </c>
      <c r="F1016" s="929">
        <f>Upah!$F$8</f>
        <v>170000</v>
      </c>
      <c r="G1016" s="929">
        <f>+F1016*E1016</f>
        <v>4590</v>
      </c>
    </row>
    <row r="1017" spans="1:9" s="413" customFormat="1" ht="11.25" customHeight="1">
      <c r="A1017" s="918"/>
      <c r="B1017" s="930"/>
      <c r="C1017" s="931" t="s">
        <v>632</v>
      </c>
      <c r="D1017" s="932"/>
      <c r="E1017" s="933"/>
      <c r="F1017" s="934"/>
      <c r="G1017" s="935">
        <f>SUM(G1013:G1016)</f>
        <v>49997</v>
      </c>
    </row>
    <row r="1018" spans="1:9" s="413" customFormat="1" ht="11.25" customHeight="1">
      <c r="A1018" s="918" t="s">
        <v>77</v>
      </c>
      <c r="B1018" s="945" t="s">
        <v>299</v>
      </c>
      <c r="C1018" s="946"/>
      <c r="D1018" s="946"/>
      <c r="E1018" s="947"/>
      <c r="F1018" s="948"/>
      <c r="G1018" s="948"/>
    </row>
    <row r="1019" spans="1:9" s="413" customFormat="1" ht="11.25" customHeight="1">
      <c r="A1019" s="1170"/>
      <c r="B1019" s="1167" t="s">
        <v>608</v>
      </c>
      <c r="C1019" s="1168"/>
      <c r="D1019" s="1168" t="s">
        <v>291</v>
      </c>
      <c r="E1019" s="1169">
        <v>2.9169999999999998</v>
      </c>
      <c r="F1019" s="926">
        <f>Bahan!$E$205/3</f>
        <v>48333.333333333336</v>
      </c>
      <c r="G1019" s="926">
        <f t="shared" ref="G1019:G1022" si="99">+F1019*E1019</f>
        <v>140988.33333333334</v>
      </c>
      <c r="I1019" s="413">
        <f>F1019*E1019</f>
        <v>140988.33333333334</v>
      </c>
    </row>
    <row r="1020" spans="1:9" s="413" customFormat="1" ht="11.25" customHeight="1">
      <c r="A1020" s="1170"/>
      <c r="B1020" s="1176" t="s">
        <v>87</v>
      </c>
      <c r="C1020" s="1177"/>
      <c r="D1020" s="1177" t="s">
        <v>268</v>
      </c>
      <c r="E1020" s="1178">
        <v>13.632</v>
      </c>
      <c r="F1020" s="926">
        <f>Bahan!$E$286</f>
        <v>1450</v>
      </c>
      <c r="G1020" s="926">
        <f t="shared" si="99"/>
        <v>19766.399999999998</v>
      </c>
    </row>
    <row r="1021" spans="1:9" s="413" customFormat="1" ht="11.25" customHeight="1">
      <c r="A1021" s="1170"/>
      <c r="B1021" s="1176" t="s">
        <v>155</v>
      </c>
      <c r="C1021" s="1177"/>
      <c r="D1021" s="1177" t="s">
        <v>268</v>
      </c>
      <c r="E1021" s="1178">
        <v>1.5</v>
      </c>
      <c r="F1021" s="926">
        <f>Bahan!$E$285</f>
        <v>18000</v>
      </c>
      <c r="G1021" s="926">
        <f t="shared" si="99"/>
        <v>27000</v>
      </c>
    </row>
    <row r="1022" spans="1:9" s="413" customFormat="1" ht="11.25" customHeight="1">
      <c r="A1022" s="1170"/>
      <c r="B1022" s="1167" t="s">
        <v>88</v>
      </c>
      <c r="C1022" s="1168"/>
      <c r="D1022" s="1168" t="s">
        <v>270</v>
      </c>
      <c r="E1022" s="1169">
        <f>E1001</f>
        <v>2.7E-2</v>
      </c>
      <c r="F1022" s="926">
        <f>Bahan!$E$106</f>
        <v>270000</v>
      </c>
      <c r="G1022" s="926">
        <f t="shared" si="99"/>
        <v>7290</v>
      </c>
    </row>
    <row r="1023" spans="1:9" s="413" customFormat="1" ht="11.25" customHeight="1">
      <c r="A1023" s="918"/>
      <c r="B1023" s="930"/>
      <c r="C1023" s="940" t="s">
        <v>642</v>
      </c>
      <c r="D1023" s="941"/>
      <c r="E1023" s="942"/>
      <c r="F1023" s="943"/>
      <c r="G1023" s="944">
        <f>SUM(G1019:G1022)</f>
        <v>195044.73333333334</v>
      </c>
    </row>
    <row r="1024" spans="1:9" s="413" customFormat="1" ht="11.25" customHeight="1">
      <c r="A1024" s="918" t="s">
        <v>80</v>
      </c>
      <c r="B1024" s="919" t="s">
        <v>250</v>
      </c>
      <c r="C1024" s="937"/>
      <c r="D1024" s="946"/>
      <c r="E1024" s="947"/>
      <c r="F1024" s="948"/>
      <c r="G1024" s="926">
        <v>0</v>
      </c>
    </row>
    <row r="1025" spans="1:9" s="413" customFormat="1" ht="11.25" customHeight="1">
      <c r="A1025" s="960"/>
      <c r="B1025" s="961"/>
      <c r="C1025" s="962" t="s">
        <v>287</v>
      </c>
      <c r="D1025" s="941"/>
      <c r="E1025" s="942"/>
      <c r="F1025" s="943"/>
      <c r="G1025" s="944">
        <v>0</v>
      </c>
    </row>
    <row r="1026" spans="1:9" s="413" customFormat="1" ht="11.25" customHeight="1">
      <c r="A1026" s="963" t="s">
        <v>83</v>
      </c>
      <c r="B1026" s="964" t="s">
        <v>292</v>
      </c>
      <c r="C1026" s="965"/>
      <c r="D1026" s="915"/>
      <c r="E1026" s="966"/>
      <c r="F1026" s="967"/>
      <c r="G1026" s="968">
        <f>+G1025+G1023+G1017</f>
        <v>245041.73333333334</v>
      </c>
    </row>
    <row r="1027" spans="1:9" s="413" customFormat="1" ht="11.25" customHeight="1">
      <c r="A1027" s="963" t="s">
        <v>84</v>
      </c>
      <c r="B1027" s="969" t="s">
        <v>293</v>
      </c>
      <c r="C1027" s="912"/>
      <c r="D1027" s="915"/>
      <c r="E1027" s="970">
        <f>$I$2</f>
        <v>0.1</v>
      </c>
      <c r="F1027" s="967"/>
      <c r="G1027" s="968">
        <f>+G1026*E1027</f>
        <v>24504.173333333336</v>
      </c>
    </row>
    <row r="1028" spans="1:9" s="413" customFormat="1" ht="11.25" customHeight="1" thickBot="1">
      <c r="A1028" s="971" t="s">
        <v>85</v>
      </c>
      <c r="B1028" s="972" t="s">
        <v>86</v>
      </c>
      <c r="C1028" s="973"/>
      <c r="D1028" s="973"/>
      <c r="E1028" s="974"/>
      <c r="F1028" s="975"/>
      <c r="G1028" s="976">
        <f>+G1027+G1026</f>
        <v>269545.90666666668</v>
      </c>
    </row>
    <row r="1029" spans="1:9" s="97" customFormat="1" ht="11.25" customHeight="1" thickTop="1">
      <c r="A1029" s="10"/>
      <c r="B1029" s="10"/>
      <c r="C1029" s="10"/>
      <c r="D1029" s="10"/>
      <c r="E1029" s="1004"/>
      <c r="F1029" s="10"/>
      <c r="G1029" s="46"/>
    </row>
    <row r="1030" spans="1:9" s="413" customFormat="1" ht="11.25" customHeight="1" thickBot="1">
      <c r="A1030" s="10" t="s">
        <v>592</v>
      </c>
      <c r="B1030" s="10"/>
      <c r="C1030" s="10"/>
      <c r="D1030" s="10"/>
      <c r="E1030" s="1004"/>
      <c r="F1030" s="10"/>
      <c r="G1030" s="46"/>
      <c r="H1030" s="413" t="s">
        <v>591</v>
      </c>
    </row>
    <row r="1031" spans="1:9" s="413" customFormat="1" ht="11.25" customHeight="1" thickTop="1">
      <c r="A1031" s="1797" t="s">
        <v>275</v>
      </c>
      <c r="B1031" s="1799" t="s">
        <v>295</v>
      </c>
      <c r="C1031" s="1799" t="s">
        <v>276</v>
      </c>
      <c r="D1031" s="1799" t="s">
        <v>277</v>
      </c>
      <c r="E1031" s="1801" t="s">
        <v>278</v>
      </c>
      <c r="F1031" s="916" t="s">
        <v>279</v>
      </c>
      <c r="G1031" s="916" t="s">
        <v>280</v>
      </c>
    </row>
    <row r="1032" spans="1:9" s="413" customFormat="1" ht="11.25" customHeight="1">
      <c r="A1032" s="1798"/>
      <c r="B1032" s="1800"/>
      <c r="C1032" s="1800"/>
      <c r="D1032" s="1800"/>
      <c r="E1032" s="1802"/>
      <c r="F1032" s="917" t="s">
        <v>67</v>
      </c>
      <c r="G1032" s="917" t="s">
        <v>67</v>
      </c>
    </row>
    <row r="1033" spans="1:9" s="413" customFormat="1" ht="11.25" customHeight="1">
      <c r="A1033" s="918" t="s">
        <v>68</v>
      </c>
      <c r="B1033" s="919" t="s">
        <v>298</v>
      </c>
      <c r="C1033" s="920"/>
      <c r="D1033" s="920"/>
      <c r="E1033" s="921"/>
      <c r="F1033" s="922"/>
      <c r="G1033" s="922"/>
    </row>
    <row r="1034" spans="1:9" s="413" customFormat="1" ht="11.25" customHeight="1">
      <c r="A1034" s="918"/>
      <c r="B1034" s="923" t="s">
        <v>69</v>
      </c>
      <c r="C1034" s="924" t="s">
        <v>70</v>
      </c>
      <c r="D1034" s="924" t="s">
        <v>71</v>
      </c>
      <c r="E1034" s="1155">
        <f>H1034</f>
        <v>7.1400000000000005E-2</v>
      </c>
      <c r="F1034" s="926">
        <f>Upah!$F$26</f>
        <v>130000</v>
      </c>
      <c r="G1034" s="926">
        <f>+F1034*E1034</f>
        <v>9282</v>
      </c>
      <c r="H1034" s="413">
        <v>7.1400000000000005E-2</v>
      </c>
    </row>
    <row r="1035" spans="1:9" s="413" customFormat="1" ht="11.25" customHeight="1">
      <c r="A1035" s="918"/>
      <c r="B1035" s="1164" t="s">
        <v>54</v>
      </c>
      <c r="C1035" s="993" t="s">
        <v>72</v>
      </c>
      <c r="D1035" s="993" t="s">
        <v>71</v>
      </c>
      <c r="E1035" s="1155">
        <f>H1035</f>
        <v>3.5700000000000003E-2</v>
      </c>
      <c r="F1035" s="995">
        <f>Upah!$F$17</f>
        <v>140000</v>
      </c>
      <c r="G1035" s="926">
        <f t="shared" ref="G1035:G1036" si="100">+F1035*E1035</f>
        <v>4998</v>
      </c>
      <c r="H1035" s="413">
        <v>3.5700000000000003E-2</v>
      </c>
    </row>
    <row r="1036" spans="1:9" s="413" customFormat="1" ht="11.25" customHeight="1">
      <c r="A1036" s="918"/>
      <c r="B1036" s="923" t="s">
        <v>73</v>
      </c>
      <c r="C1036" s="993" t="s">
        <v>74</v>
      </c>
      <c r="D1036" s="993" t="s">
        <v>71</v>
      </c>
      <c r="E1036" s="1155">
        <f>H1036</f>
        <v>3.5999999999999999E-3</v>
      </c>
      <c r="F1036" s="995">
        <f>Upah!$F$10</f>
        <v>150000</v>
      </c>
      <c r="G1036" s="926">
        <f t="shared" si="100"/>
        <v>540</v>
      </c>
      <c r="H1036" s="413">
        <v>3.5999999999999999E-3</v>
      </c>
    </row>
    <row r="1037" spans="1:9" s="413" customFormat="1" ht="11.25" customHeight="1">
      <c r="A1037" s="918"/>
      <c r="B1037" s="923" t="s">
        <v>50</v>
      </c>
      <c r="C1037" s="927" t="s">
        <v>75</v>
      </c>
      <c r="D1037" s="927" t="s">
        <v>71</v>
      </c>
      <c r="E1037" s="1156">
        <f>H1037</f>
        <v>1.1999999999999999E-3</v>
      </c>
      <c r="F1037" s="929">
        <f>Upah!$F$8</f>
        <v>170000</v>
      </c>
      <c r="G1037" s="929">
        <f>+F1037*E1037</f>
        <v>203.99999999999997</v>
      </c>
      <c r="H1037" s="413">
        <v>1.1999999999999999E-3</v>
      </c>
    </row>
    <row r="1038" spans="1:9" s="413" customFormat="1" ht="11.25" customHeight="1">
      <c r="A1038" s="918"/>
      <c r="B1038" s="930"/>
      <c r="C1038" s="931" t="s">
        <v>632</v>
      </c>
      <c r="D1038" s="932"/>
      <c r="E1038" s="933"/>
      <c r="F1038" s="934"/>
      <c r="G1038" s="935">
        <f>SUM(G1034:G1037)</f>
        <v>15024</v>
      </c>
    </row>
    <row r="1039" spans="1:9" s="413" customFormat="1" ht="11.25" customHeight="1">
      <c r="A1039" s="918" t="s">
        <v>77</v>
      </c>
      <c r="B1039" s="945" t="s">
        <v>299</v>
      </c>
      <c r="C1039" s="946"/>
      <c r="D1039" s="946"/>
      <c r="E1039" s="947"/>
      <c r="F1039" s="948"/>
      <c r="G1039" s="948"/>
    </row>
    <row r="1040" spans="1:9" s="413" customFormat="1" ht="11.25" customHeight="1">
      <c r="A1040" s="1170"/>
      <c r="B1040" s="1167" t="s">
        <v>406</v>
      </c>
      <c r="C1040" s="1168"/>
      <c r="D1040" s="1168" t="s">
        <v>291</v>
      </c>
      <c r="E1040" s="1169">
        <f>H1040</f>
        <v>1.75</v>
      </c>
      <c r="F1040" s="926">
        <f>F998/4</f>
        <v>11250</v>
      </c>
      <c r="G1040" s="926">
        <f t="shared" ref="G1040:G1043" si="101">+F1040*E1040</f>
        <v>19687.5</v>
      </c>
      <c r="H1040" s="413">
        <v>1.75</v>
      </c>
      <c r="I1040" s="413">
        <f>0.6/0.15</f>
        <v>4</v>
      </c>
    </row>
    <row r="1041" spans="1:8" s="413" customFormat="1" ht="11.25" customHeight="1">
      <c r="A1041" s="1170"/>
      <c r="B1041" s="1176" t="s">
        <v>87</v>
      </c>
      <c r="C1041" s="1177"/>
      <c r="D1041" s="1177" t="s">
        <v>268</v>
      </c>
      <c r="E1041" s="1178">
        <f>H1041</f>
        <v>1.704</v>
      </c>
      <c r="F1041" s="926">
        <f>Bahan!$E$286</f>
        <v>1450</v>
      </c>
      <c r="G1041" s="926">
        <f t="shared" si="101"/>
        <v>2470.7999999999997</v>
      </c>
      <c r="H1041" s="413">
        <v>1.704</v>
      </c>
    </row>
    <row r="1042" spans="1:8" s="413" customFormat="1" ht="11.25" customHeight="1">
      <c r="A1042" s="1170"/>
      <c r="B1042" s="1176" t="s">
        <v>155</v>
      </c>
      <c r="C1042" s="1177"/>
      <c r="D1042" s="1177" t="s">
        <v>268</v>
      </c>
      <c r="E1042" s="1178">
        <f>H1042</f>
        <v>0.188</v>
      </c>
      <c r="F1042" s="926">
        <f>Bahan!$E$285</f>
        <v>18000</v>
      </c>
      <c r="G1042" s="926">
        <f t="shared" si="101"/>
        <v>3384</v>
      </c>
      <c r="H1042" s="413">
        <v>0.188</v>
      </c>
    </row>
    <row r="1043" spans="1:8" s="413" customFormat="1" ht="11.25" customHeight="1">
      <c r="A1043" s="1170"/>
      <c r="B1043" s="1167" t="s">
        <v>88</v>
      </c>
      <c r="C1043" s="1168"/>
      <c r="D1043" s="1168" t="s">
        <v>270</v>
      </c>
      <c r="E1043" s="1169">
        <f>H1043</f>
        <v>3.0000000000000001E-3</v>
      </c>
      <c r="F1043" s="926">
        <f>Bahan!$E$106</f>
        <v>270000</v>
      </c>
      <c r="G1043" s="926">
        <f t="shared" si="101"/>
        <v>810</v>
      </c>
      <c r="H1043" s="413">
        <v>3.0000000000000001E-3</v>
      </c>
    </row>
    <row r="1044" spans="1:8" s="413" customFormat="1" ht="11.25" customHeight="1">
      <c r="A1044" s="918"/>
      <c r="B1044" s="930"/>
      <c r="C1044" s="940" t="s">
        <v>642</v>
      </c>
      <c r="D1044" s="941"/>
      <c r="E1044" s="942"/>
      <c r="F1044" s="943"/>
      <c r="G1044" s="944">
        <f>SUM(G1040:G1043)</f>
        <v>26352.3</v>
      </c>
    </row>
    <row r="1045" spans="1:8" s="413" customFormat="1" ht="11.25" customHeight="1">
      <c r="A1045" s="918" t="s">
        <v>80</v>
      </c>
      <c r="B1045" s="919" t="s">
        <v>250</v>
      </c>
      <c r="C1045" s="937"/>
      <c r="D1045" s="946"/>
      <c r="E1045" s="947"/>
      <c r="F1045" s="948"/>
      <c r="G1045" s="926">
        <v>0</v>
      </c>
    </row>
    <row r="1046" spans="1:8" s="413" customFormat="1" ht="11.25" customHeight="1">
      <c r="A1046" s="960"/>
      <c r="B1046" s="961"/>
      <c r="C1046" s="962" t="s">
        <v>287</v>
      </c>
      <c r="D1046" s="941"/>
      <c r="E1046" s="942"/>
      <c r="F1046" s="943"/>
      <c r="G1046" s="944">
        <v>0</v>
      </c>
    </row>
    <row r="1047" spans="1:8" s="413" customFormat="1" ht="11.25" customHeight="1">
      <c r="A1047" s="963" t="s">
        <v>83</v>
      </c>
      <c r="B1047" s="964" t="s">
        <v>292</v>
      </c>
      <c r="C1047" s="965"/>
      <c r="D1047" s="915"/>
      <c r="E1047" s="966"/>
      <c r="F1047" s="967"/>
      <c r="G1047" s="968">
        <f>+G1046+G1044+G1038</f>
        <v>41376.300000000003</v>
      </c>
    </row>
    <row r="1048" spans="1:8" s="413" customFormat="1" ht="11.25" customHeight="1">
      <c r="A1048" s="963" t="s">
        <v>84</v>
      </c>
      <c r="B1048" s="969" t="s">
        <v>293</v>
      </c>
      <c r="C1048" s="912"/>
      <c r="D1048" s="915"/>
      <c r="E1048" s="970">
        <f>$I$2</f>
        <v>0.1</v>
      </c>
      <c r="F1048" s="967"/>
      <c r="G1048" s="968">
        <f>+G1047*E1048</f>
        <v>4137.63</v>
      </c>
    </row>
    <row r="1049" spans="1:8" s="413" customFormat="1" ht="11.25" customHeight="1" thickBot="1">
      <c r="A1049" s="971" t="s">
        <v>85</v>
      </c>
      <c r="B1049" s="972" t="s">
        <v>86</v>
      </c>
      <c r="C1049" s="973"/>
      <c r="D1049" s="973"/>
      <c r="E1049" s="974"/>
      <c r="F1049" s="975"/>
      <c r="G1049" s="976">
        <f>+G1048+G1047</f>
        <v>45513.93</v>
      </c>
    </row>
    <row r="1050" spans="1:8" ht="11.25" customHeight="1" thickTop="1"/>
    <row r="1051" spans="1:8" s="413" customFormat="1" ht="11.25" customHeight="1" thickBot="1">
      <c r="A1051" s="1179" t="s">
        <v>878</v>
      </c>
      <c r="B1051" s="1180"/>
      <c r="C1051" s="1180"/>
      <c r="D1051" s="1181"/>
      <c r="E1051" s="1182"/>
      <c r="F1051" s="1180"/>
      <c r="G1051" s="1180"/>
    </row>
    <row r="1052" spans="1:8" s="413" customFormat="1" ht="11.25" customHeight="1" thickTop="1">
      <c r="A1052" s="1797" t="s">
        <v>275</v>
      </c>
      <c r="B1052" s="1799" t="s">
        <v>295</v>
      </c>
      <c r="C1052" s="1799" t="s">
        <v>276</v>
      </c>
      <c r="D1052" s="1799" t="s">
        <v>277</v>
      </c>
      <c r="E1052" s="1801" t="s">
        <v>278</v>
      </c>
      <c r="F1052" s="916" t="s">
        <v>279</v>
      </c>
      <c r="G1052" s="916" t="s">
        <v>280</v>
      </c>
    </row>
    <row r="1053" spans="1:8" s="413" customFormat="1" ht="11.25" customHeight="1">
      <c r="A1053" s="1798"/>
      <c r="B1053" s="1800"/>
      <c r="C1053" s="1800"/>
      <c r="D1053" s="1800"/>
      <c r="E1053" s="1802"/>
      <c r="F1053" s="917" t="s">
        <v>67</v>
      </c>
      <c r="G1053" s="917" t="s">
        <v>67</v>
      </c>
    </row>
    <row r="1054" spans="1:8" s="413" customFormat="1" ht="11.25" customHeight="1">
      <c r="A1054" s="1183" t="s">
        <v>262</v>
      </c>
      <c r="B1054" s="1184" t="s">
        <v>267</v>
      </c>
      <c r="C1054" s="1183"/>
      <c r="D1054" s="1183"/>
      <c r="E1054" s="1185"/>
      <c r="F1054" s="1186"/>
      <c r="G1054" s="1186"/>
    </row>
    <row r="1055" spans="1:8" s="413" customFormat="1" ht="11.25" customHeight="1">
      <c r="A1055" s="1187">
        <v>1</v>
      </c>
      <c r="B1055" s="1188" t="s">
        <v>69</v>
      </c>
      <c r="C1055" s="1189" t="s">
        <v>70</v>
      </c>
      <c r="D1055" s="1189" t="s">
        <v>71</v>
      </c>
      <c r="E1055" s="1190">
        <v>0.12</v>
      </c>
      <c r="F1055" s="1191">
        <f>F1973</f>
        <v>130000</v>
      </c>
      <c r="G1055" s="1191">
        <f>E1055*F1055</f>
        <v>15600</v>
      </c>
    </row>
    <row r="1056" spans="1:8" s="413" customFormat="1" ht="11.25" customHeight="1">
      <c r="A1056" s="1187">
        <v>2</v>
      </c>
      <c r="B1056" s="1188" t="s">
        <v>57</v>
      </c>
      <c r="C1056" s="1189" t="s">
        <v>72</v>
      </c>
      <c r="D1056" s="1189" t="s">
        <v>71</v>
      </c>
      <c r="E1056" s="1190">
        <v>0.12</v>
      </c>
      <c r="F1056" s="1191">
        <f>Upah!F18</f>
        <v>140000</v>
      </c>
      <c r="G1056" s="1191">
        <f>E1056*F1056</f>
        <v>16800</v>
      </c>
    </row>
    <row r="1057" spans="1:7" s="413" customFormat="1" ht="11.25" customHeight="1">
      <c r="A1057" s="1187">
        <v>3</v>
      </c>
      <c r="B1057" s="1188" t="s">
        <v>73</v>
      </c>
      <c r="C1057" s="1189" t="s">
        <v>74</v>
      </c>
      <c r="D1057" s="1189" t="s">
        <v>71</v>
      </c>
      <c r="E1057" s="1190">
        <v>1.2E-2</v>
      </c>
      <c r="F1057" s="1191">
        <f>F1975</f>
        <v>150000</v>
      </c>
      <c r="G1057" s="1191">
        <f>E1057*F1057</f>
        <v>1800</v>
      </c>
    </row>
    <row r="1058" spans="1:7" s="413" customFormat="1" ht="11.25" customHeight="1">
      <c r="A1058" s="1192">
        <v>4</v>
      </c>
      <c r="B1058" s="1193" t="s">
        <v>50</v>
      </c>
      <c r="C1058" s="1194" t="s">
        <v>75</v>
      </c>
      <c r="D1058" s="1194" t="s">
        <v>71</v>
      </c>
      <c r="E1058" s="1195">
        <v>4.0000000000000001E-3</v>
      </c>
      <c r="F1058" s="1196">
        <f>F1976</f>
        <v>170000</v>
      </c>
      <c r="G1058" s="1196">
        <f>E1058*F1058</f>
        <v>680</v>
      </c>
    </row>
    <row r="1059" spans="1:7" s="413" customFormat="1" ht="11.25" customHeight="1">
      <c r="A1059" s="1197" t="s">
        <v>553</v>
      </c>
      <c r="B1059" s="1198"/>
      <c r="C1059" s="1198"/>
      <c r="D1059" s="1199"/>
      <c r="E1059" s="1200"/>
      <c r="F1059" s="1201"/>
      <c r="G1059" s="1202">
        <f>SUM(G1055:G1058)</f>
        <v>34880</v>
      </c>
    </row>
    <row r="1060" spans="1:7" s="413" customFormat="1" ht="11.25" customHeight="1">
      <c r="A1060" s="1203" t="s">
        <v>263</v>
      </c>
      <c r="B1060" s="1204" t="s">
        <v>78</v>
      </c>
      <c r="C1060" s="1203"/>
      <c r="D1060" s="1203"/>
      <c r="E1060" s="1205"/>
      <c r="F1060" s="1206"/>
      <c r="G1060" s="1206"/>
    </row>
    <row r="1061" spans="1:7" s="413" customFormat="1" ht="11.25" customHeight="1">
      <c r="A1061" s="1187">
        <v>1</v>
      </c>
      <c r="B1061" s="1188" t="s">
        <v>675</v>
      </c>
      <c r="C1061" s="1189"/>
      <c r="D1061" s="1189" t="s">
        <v>372</v>
      </c>
      <c r="E1061" s="1190">
        <v>1.1000000000000001</v>
      </c>
      <c r="F1061" s="1191">
        <f>Bahan!E262</f>
        <v>12000</v>
      </c>
      <c r="G1061" s="1191">
        <f t="shared" ref="G1061:G1062" si="102">E1061*F1061</f>
        <v>13200.000000000002</v>
      </c>
    </row>
    <row r="1062" spans="1:7" s="413" customFormat="1" ht="11.25" customHeight="1">
      <c r="A1062" s="1192">
        <v>2</v>
      </c>
      <c r="B1062" s="1193" t="s">
        <v>674</v>
      </c>
      <c r="C1062" s="1194"/>
      <c r="D1062" s="1194" t="s">
        <v>268</v>
      </c>
      <c r="E1062" s="1195">
        <v>0.05</v>
      </c>
      <c r="F1062" s="1196">
        <f>F571</f>
        <v>37000</v>
      </c>
      <c r="G1062" s="1196">
        <f t="shared" si="102"/>
        <v>1850</v>
      </c>
    </row>
    <row r="1063" spans="1:7" s="413" customFormat="1" ht="11.25" customHeight="1">
      <c r="A1063" s="1197" t="s">
        <v>79</v>
      </c>
      <c r="B1063" s="1198"/>
      <c r="C1063" s="1198"/>
      <c r="D1063" s="1199"/>
      <c r="E1063" s="1200"/>
      <c r="F1063" s="1201"/>
      <c r="G1063" s="1202">
        <f>SUM(G1061:G1062)</f>
        <v>15050.000000000002</v>
      </c>
    </row>
    <row r="1064" spans="1:7" s="413" customFormat="1" ht="11.25" customHeight="1">
      <c r="A1064" s="1203" t="s">
        <v>264</v>
      </c>
      <c r="B1064" s="1204" t="s">
        <v>81</v>
      </c>
      <c r="C1064" s="1203"/>
      <c r="D1064" s="1203"/>
      <c r="E1064" s="1205"/>
      <c r="F1064" s="1206"/>
      <c r="G1064" s="1206"/>
    </row>
    <row r="1065" spans="1:7" s="413" customFormat="1" ht="11.25" customHeight="1">
      <c r="A1065" s="1194"/>
      <c r="B1065" s="1193"/>
      <c r="C1065" s="1194"/>
      <c r="D1065" s="1194"/>
      <c r="E1065" s="1195"/>
      <c r="F1065" s="1207"/>
      <c r="G1065" s="1207"/>
    </row>
    <row r="1066" spans="1:7" s="413" customFormat="1" ht="11.25" customHeight="1">
      <c r="A1066" s="1197" t="s">
        <v>82</v>
      </c>
      <c r="B1066" s="1198"/>
      <c r="C1066" s="1198"/>
      <c r="D1066" s="1199"/>
      <c r="E1066" s="1200"/>
      <c r="F1066" s="1201"/>
      <c r="G1066" s="1202">
        <f>SUM(G1065)</f>
        <v>0</v>
      </c>
    </row>
    <row r="1067" spans="1:7" s="413" customFormat="1" ht="11.25" customHeight="1">
      <c r="A1067" s="1208" t="s">
        <v>281</v>
      </c>
      <c r="B1067" s="1209" t="s">
        <v>292</v>
      </c>
      <c r="C1067" s="1209"/>
      <c r="D1067" s="1208"/>
      <c r="E1067" s="1210"/>
      <c r="F1067" s="1211"/>
      <c r="G1067" s="1212">
        <f>G1059+G1063+G1066</f>
        <v>49930</v>
      </c>
    </row>
    <row r="1068" spans="1:7" s="413" customFormat="1" ht="11.25" customHeight="1">
      <c r="A1068" s="1213" t="s">
        <v>90</v>
      </c>
      <c r="B1068" s="1214" t="s">
        <v>293</v>
      </c>
      <c r="C1068" s="1215"/>
      <c r="D1068" s="1216"/>
      <c r="E1068" s="970">
        <f>$I$2</f>
        <v>0.1</v>
      </c>
      <c r="F1068" s="967"/>
      <c r="G1068" s="968">
        <f>+G1067*E1068</f>
        <v>4993</v>
      </c>
    </row>
    <row r="1069" spans="1:7" s="413" customFormat="1" ht="11.25" customHeight="1">
      <c r="A1069" s="1217" t="s">
        <v>94</v>
      </c>
      <c r="B1069" s="1218" t="s">
        <v>86</v>
      </c>
      <c r="C1069" s="1218"/>
      <c r="D1069" s="1219"/>
      <c r="E1069" s="1220"/>
      <c r="F1069" s="1221"/>
      <c r="G1069" s="1222">
        <f>G1067+G1068</f>
        <v>54923</v>
      </c>
    </row>
    <row r="1070" spans="1:7" s="105" customFormat="1" ht="11.25" customHeight="1">
      <c r="A1070" s="10"/>
      <c r="B1070" s="10"/>
      <c r="C1070" s="10"/>
      <c r="D1070" s="10"/>
      <c r="E1070" s="1004"/>
      <c r="F1070" s="10"/>
      <c r="G1070" s="46"/>
    </row>
    <row r="1071" spans="1:7" s="111" customFormat="1" ht="11.25" customHeight="1">
      <c r="A1071" s="10"/>
      <c r="B1071" s="10"/>
      <c r="C1071" s="10"/>
      <c r="D1071" s="10"/>
      <c r="E1071" s="1004"/>
      <c r="F1071" s="10"/>
      <c r="G1071" s="46"/>
    </row>
    <row r="1072" spans="1:7" s="111" customFormat="1" ht="11.25" customHeight="1">
      <c r="A1072" s="10"/>
      <c r="B1072" s="10"/>
      <c r="C1072" s="10"/>
      <c r="D1072" s="10"/>
      <c r="E1072" s="1004"/>
      <c r="F1072" s="10"/>
      <c r="G1072" s="46"/>
    </row>
    <row r="1073" spans="1:7" s="111" customFormat="1" ht="11.25" customHeight="1">
      <c r="A1073" s="10"/>
      <c r="B1073" s="10"/>
      <c r="C1073" s="10"/>
      <c r="D1073" s="10"/>
      <c r="E1073" s="1004"/>
      <c r="F1073" s="10"/>
      <c r="G1073" s="46"/>
    </row>
    <row r="1074" spans="1:7" s="111" customFormat="1" ht="15" thickBot="1">
      <c r="A1074" s="10" t="s">
        <v>877</v>
      </c>
      <c r="B1074" s="10"/>
      <c r="C1074" s="10"/>
      <c r="D1074" s="10"/>
      <c r="E1074" s="1004"/>
      <c r="F1074" s="10"/>
      <c r="G1074" s="46"/>
    </row>
    <row r="1075" spans="1:7" s="111" customFormat="1" ht="15" thickTop="1">
      <c r="A1075" s="1797" t="s">
        <v>275</v>
      </c>
      <c r="B1075" s="1799" t="s">
        <v>295</v>
      </c>
      <c r="C1075" s="1799" t="s">
        <v>276</v>
      </c>
      <c r="D1075" s="1799" t="s">
        <v>277</v>
      </c>
      <c r="E1075" s="1801" t="s">
        <v>278</v>
      </c>
      <c r="F1075" s="916" t="s">
        <v>279</v>
      </c>
      <c r="G1075" s="916" t="s">
        <v>280</v>
      </c>
    </row>
    <row r="1076" spans="1:7" s="111" customFormat="1">
      <c r="A1076" s="1798"/>
      <c r="B1076" s="1800"/>
      <c r="C1076" s="1800"/>
      <c r="D1076" s="1800"/>
      <c r="E1076" s="1802"/>
      <c r="F1076" s="917" t="s">
        <v>67</v>
      </c>
      <c r="G1076" s="917" t="s">
        <v>67</v>
      </c>
    </row>
    <row r="1077" spans="1:7" s="111" customFormat="1">
      <c r="A1077" s="918" t="s">
        <v>68</v>
      </c>
      <c r="B1077" s="919" t="s">
        <v>298</v>
      </c>
      <c r="C1077" s="920"/>
      <c r="D1077" s="920"/>
      <c r="E1077" s="921"/>
      <c r="F1077" s="922"/>
      <c r="G1077" s="922"/>
    </row>
    <row r="1078" spans="1:7" s="111" customFormat="1">
      <c r="A1078" s="918"/>
      <c r="B1078" s="923" t="s">
        <v>69</v>
      </c>
      <c r="C1078" s="924" t="s">
        <v>70</v>
      </c>
      <c r="D1078" s="924" t="s">
        <v>71</v>
      </c>
      <c r="E1078" s="1155">
        <v>0.625</v>
      </c>
      <c r="F1078" s="926">
        <f>Upah!$F$26</f>
        <v>130000</v>
      </c>
      <c r="G1078" s="926">
        <f>+F1078*E1078</f>
        <v>81250</v>
      </c>
    </row>
    <row r="1079" spans="1:7" s="111" customFormat="1">
      <c r="A1079" s="918"/>
      <c r="B1079" s="1164" t="s">
        <v>54</v>
      </c>
      <c r="C1079" s="993" t="s">
        <v>72</v>
      </c>
      <c r="D1079" s="993" t="s">
        <v>71</v>
      </c>
      <c r="E1079" s="1155">
        <v>0.25</v>
      </c>
      <c r="F1079" s="995">
        <f>Upah!$F$17</f>
        <v>140000</v>
      </c>
      <c r="G1079" s="926">
        <f t="shared" ref="G1079:G1080" si="103">+F1079*E1079</f>
        <v>35000</v>
      </c>
    </row>
    <row r="1080" spans="1:7" s="111" customFormat="1">
      <c r="A1080" s="918"/>
      <c r="B1080" s="923" t="s">
        <v>73</v>
      </c>
      <c r="C1080" s="993" t="s">
        <v>74</v>
      </c>
      <c r="D1080" s="993" t="s">
        <v>71</v>
      </c>
      <c r="E1080" s="1155">
        <v>0.01</v>
      </c>
      <c r="F1080" s="995">
        <f>Upah!$F$10</f>
        <v>150000</v>
      </c>
      <c r="G1080" s="926">
        <f t="shared" si="103"/>
        <v>1500</v>
      </c>
    </row>
    <row r="1081" spans="1:7" s="111" customFormat="1">
      <c r="A1081" s="918"/>
      <c r="B1081" s="923" t="s">
        <v>50</v>
      </c>
      <c r="C1081" s="927" t="s">
        <v>75</v>
      </c>
      <c r="D1081" s="927" t="s">
        <v>71</v>
      </c>
      <c r="E1081" s="1156">
        <v>3.1E-2</v>
      </c>
      <c r="F1081" s="929">
        <f>Upah!$F$8</f>
        <v>170000</v>
      </c>
      <c r="G1081" s="929">
        <f>+F1081*E1081</f>
        <v>5270</v>
      </c>
    </row>
    <row r="1082" spans="1:7" s="111" customFormat="1">
      <c r="A1082" s="918"/>
      <c r="B1082" s="930"/>
      <c r="C1082" s="931" t="s">
        <v>632</v>
      </c>
      <c r="D1082" s="932"/>
      <c r="E1082" s="933"/>
      <c r="F1082" s="934"/>
      <c r="G1082" s="935">
        <f>SUM(G1078:G1081)</f>
        <v>123020</v>
      </c>
    </row>
    <row r="1083" spans="1:7" s="111" customFormat="1">
      <c r="A1083" s="918" t="s">
        <v>77</v>
      </c>
      <c r="B1083" s="945" t="s">
        <v>299</v>
      </c>
      <c r="C1083" s="946"/>
      <c r="D1083" s="946"/>
      <c r="E1083" s="947"/>
      <c r="F1083" s="948"/>
      <c r="G1083" s="948"/>
    </row>
    <row r="1084" spans="1:7" s="111" customFormat="1">
      <c r="A1084" s="1170"/>
      <c r="B1084" s="1167" t="s">
        <v>876</v>
      </c>
      <c r="C1084" s="1168"/>
      <c r="D1084" s="1168" t="s">
        <v>874</v>
      </c>
      <c r="E1084" s="1169">
        <v>1.2</v>
      </c>
      <c r="F1084" s="926">
        <f>Bahan!E109</f>
        <v>55000</v>
      </c>
      <c r="G1084" s="926">
        <f t="shared" ref="G1084:G1086" si="104">+F1084*E1084</f>
        <v>66000</v>
      </c>
    </row>
    <row r="1085" spans="1:7" s="111" customFormat="1">
      <c r="A1085" s="1170"/>
      <c r="B1085" s="1176" t="s">
        <v>167</v>
      </c>
      <c r="C1085" s="1177"/>
      <c r="D1085" s="1177" t="s">
        <v>268</v>
      </c>
      <c r="E1085" s="1178">
        <v>9.2799999999999994</v>
      </c>
      <c r="F1085" s="926">
        <f>Bahan!$E$286</f>
        <v>1450</v>
      </c>
      <c r="G1085" s="926">
        <f t="shared" si="104"/>
        <v>13455.999999999998</v>
      </c>
    </row>
    <row r="1086" spans="1:7" s="111" customFormat="1">
      <c r="A1086" s="1170"/>
      <c r="B1086" s="1167" t="s">
        <v>88</v>
      </c>
      <c r="C1086" s="1168"/>
      <c r="D1086" s="1168" t="s">
        <v>270</v>
      </c>
      <c r="E1086" s="1169">
        <v>0.02</v>
      </c>
      <c r="F1086" s="926">
        <f>Bahan!$E$106</f>
        <v>270000</v>
      </c>
      <c r="G1086" s="926">
        <f t="shared" si="104"/>
        <v>5400</v>
      </c>
    </row>
    <row r="1087" spans="1:7" s="111" customFormat="1">
      <c r="A1087" s="918"/>
      <c r="B1087" s="930"/>
      <c r="C1087" s="940" t="s">
        <v>642</v>
      </c>
      <c r="D1087" s="941"/>
      <c r="E1087" s="942"/>
      <c r="F1087" s="943"/>
      <c r="G1087" s="944">
        <f>SUM(G1084:G1086)</f>
        <v>84856</v>
      </c>
    </row>
    <row r="1088" spans="1:7" s="111" customFormat="1">
      <c r="A1088" s="918" t="s">
        <v>80</v>
      </c>
      <c r="B1088" s="919" t="s">
        <v>250</v>
      </c>
      <c r="C1088" s="937"/>
      <c r="D1088" s="946"/>
      <c r="E1088" s="947"/>
      <c r="F1088" s="948"/>
      <c r="G1088" s="926">
        <v>0</v>
      </c>
    </row>
    <row r="1089" spans="1:7" s="111" customFormat="1">
      <c r="A1089" s="960"/>
      <c r="B1089" s="961"/>
      <c r="C1089" s="962" t="s">
        <v>287</v>
      </c>
      <c r="D1089" s="941"/>
      <c r="E1089" s="942"/>
      <c r="F1089" s="943"/>
      <c r="G1089" s="944">
        <v>0</v>
      </c>
    </row>
    <row r="1090" spans="1:7" s="111" customFormat="1">
      <c r="A1090" s="963" t="s">
        <v>83</v>
      </c>
      <c r="B1090" s="964" t="s">
        <v>292</v>
      </c>
      <c r="C1090" s="965"/>
      <c r="D1090" s="915"/>
      <c r="E1090" s="966"/>
      <c r="F1090" s="967"/>
      <c r="G1090" s="968">
        <f>+G1089+G1087+G1082</f>
        <v>207876</v>
      </c>
    </row>
    <row r="1091" spans="1:7" s="111" customFormat="1">
      <c r="A1091" s="963" t="s">
        <v>84</v>
      </c>
      <c r="B1091" s="969" t="s">
        <v>293</v>
      </c>
      <c r="C1091" s="912"/>
      <c r="D1091" s="915"/>
      <c r="E1091" s="970">
        <f>$I$2</f>
        <v>0.1</v>
      </c>
      <c r="F1091" s="967"/>
      <c r="G1091" s="968">
        <f>+G1090*E1091</f>
        <v>20787.600000000002</v>
      </c>
    </row>
    <row r="1092" spans="1:7" s="111" customFormat="1" ht="15" thickBot="1">
      <c r="A1092" s="971" t="s">
        <v>85</v>
      </c>
      <c r="B1092" s="972" t="s">
        <v>86</v>
      </c>
      <c r="C1092" s="973"/>
      <c r="D1092" s="973"/>
      <c r="E1092" s="974"/>
      <c r="F1092" s="975"/>
      <c r="G1092" s="976">
        <f>+G1091+G1090</f>
        <v>228663.6</v>
      </c>
    </row>
    <row r="1093" spans="1:7" s="111" customFormat="1" ht="15" thickTop="1">
      <c r="A1093" s="10"/>
      <c r="B1093" s="10"/>
      <c r="C1093" s="10"/>
      <c r="D1093" s="10"/>
      <c r="E1093" s="1004"/>
      <c r="F1093" s="10"/>
      <c r="G1093" s="46"/>
    </row>
    <row r="1094" spans="1:7" s="111" customFormat="1" ht="15" thickBot="1">
      <c r="A1094" s="10" t="s">
        <v>879</v>
      </c>
      <c r="B1094" s="10"/>
      <c r="C1094" s="10"/>
      <c r="D1094" s="10"/>
      <c r="E1094" s="1004"/>
      <c r="F1094" s="10"/>
      <c r="G1094" s="46"/>
    </row>
    <row r="1095" spans="1:7" s="111" customFormat="1" ht="15" thickTop="1">
      <c r="A1095" s="1797" t="s">
        <v>275</v>
      </c>
      <c r="B1095" s="1799" t="s">
        <v>295</v>
      </c>
      <c r="C1095" s="1799" t="s">
        <v>276</v>
      </c>
      <c r="D1095" s="1799" t="s">
        <v>277</v>
      </c>
      <c r="E1095" s="1801" t="s">
        <v>278</v>
      </c>
      <c r="F1095" s="916" t="s">
        <v>279</v>
      </c>
      <c r="G1095" s="916" t="s">
        <v>280</v>
      </c>
    </row>
    <row r="1096" spans="1:7" s="111" customFormat="1">
      <c r="A1096" s="1798"/>
      <c r="B1096" s="1800"/>
      <c r="C1096" s="1800"/>
      <c r="D1096" s="1800"/>
      <c r="E1096" s="1802"/>
      <c r="F1096" s="917" t="s">
        <v>67</v>
      </c>
      <c r="G1096" s="917" t="s">
        <v>67</v>
      </c>
    </row>
    <row r="1097" spans="1:7" s="111" customFormat="1">
      <c r="A1097" s="918" t="s">
        <v>68</v>
      </c>
      <c r="B1097" s="919" t="s">
        <v>298</v>
      </c>
      <c r="C1097" s="920"/>
      <c r="D1097" s="920"/>
      <c r="E1097" s="921"/>
      <c r="F1097" s="922"/>
      <c r="G1097" s="922"/>
    </row>
    <row r="1098" spans="1:7" s="111" customFormat="1">
      <c r="A1098" s="918"/>
      <c r="B1098" s="923" t="s">
        <v>69</v>
      </c>
      <c r="C1098" s="924" t="s">
        <v>70</v>
      </c>
      <c r="D1098" s="924" t="s">
        <v>71</v>
      </c>
      <c r="E1098" s="1155">
        <v>0.5</v>
      </c>
      <c r="F1098" s="926">
        <f>Upah!$F$26</f>
        <v>130000</v>
      </c>
      <c r="G1098" s="926">
        <f>+F1098*E1098</f>
        <v>65000</v>
      </c>
    </row>
    <row r="1099" spans="1:7" s="111" customFormat="1">
      <c r="A1099" s="918"/>
      <c r="B1099" s="1164" t="s">
        <v>54</v>
      </c>
      <c r="C1099" s="993" t="s">
        <v>72</v>
      </c>
      <c r="D1099" s="993" t="s">
        <v>71</v>
      </c>
      <c r="E1099" s="1155">
        <v>0.5</v>
      </c>
      <c r="F1099" s="995">
        <f>Upah!$F$17</f>
        <v>140000</v>
      </c>
      <c r="G1099" s="926">
        <f t="shared" ref="G1099:G1100" si="105">+F1099*E1099</f>
        <v>70000</v>
      </c>
    </row>
    <row r="1100" spans="1:7" s="111" customFormat="1">
      <c r="A1100" s="918"/>
      <c r="B1100" s="923" t="s">
        <v>73</v>
      </c>
      <c r="C1100" s="993" t="s">
        <v>74</v>
      </c>
      <c r="D1100" s="993" t="s">
        <v>71</v>
      </c>
      <c r="E1100" s="1155">
        <v>0.05</v>
      </c>
      <c r="F1100" s="995">
        <f>Upah!$F$10</f>
        <v>150000</v>
      </c>
      <c r="G1100" s="926">
        <f t="shared" si="105"/>
        <v>7500</v>
      </c>
    </row>
    <row r="1101" spans="1:7" s="111" customFormat="1">
      <c r="A1101" s="918"/>
      <c r="B1101" s="923" t="s">
        <v>50</v>
      </c>
      <c r="C1101" s="927" t="s">
        <v>75</v>
      </c>
      <c r="D1101" s="927" t="s">
        <v>71</v>
      </c>
      <c r="E1101" s="1156">
        <v>1.2999999999999999E-3</v>
      </c>
      <c r="F1101" s="929">
        <f>Upah!$F$8</f>
        <v>170000</v>
      </c>
      <c r="G1101" s="929">
        <f>+F1101*E1101</f>
        <v>221</v>
      </c>
    </row>
    <row r="1102" spans="1:7" s="111" customFormat="1">
      <c r="A1102" s="918"/>
      <c r="B1102" s="930"/>
      <c r="C1102" s="931" t="s">
        <v>632</v>
      </c>
      <c r="D1102" s="932"/>
      <c r="E1102" s="933"/>
      <c r="F1102" s="934"/>
      <c r="G1102" s="935">
        <f>SUM(G1098:G1101)</f>
        <v>142721</v>
      </c>
    </row>
    <row r="1103" spans="1:7" s="111" customFormat="1">
      <c r="A1103" s="918" t="s">
        <v>77</v>
      </c>
      <c r="B1103" s="945" t="s">
        <v>299</v>
      </c>
      <c r="C1103" s="946"/>
      <c r="D1103" s="946"/>
      <c r="E1103" s="947"/>
      <c r="F1103" s="948"/>
      <c r="G1103" s="948"/>
    </row>
    <row r="1104" spans="1:7" s="111" customFormat="1">
      <c r="A1104" s="1170"/>
      <c r="B1104" s="1223" t="s">
        <v>880</v>
      </c>
      <c r="C1104" s="1168"/>
      <c r="D1104" s="1168" t="s">
        <v>357</v>
      </c>
      <c r="E1104" s="1169">
        <v>1.01</v>
      </c>
      <c r="F1104" s="926">
        <f>Bahan!E110</f>
        <v>130000</v>
      </c>
      <c r="G1104" s="926">
        <f t="shared" ref="G1104:G1105" si="106">+F1104*E1104</f>
        <v>131300</v>
      </c>
    </row>
    <row r="1105" spans="1:7" s="111" customFormat="1">
      <c r="A1105" s="1170"/>
      <c r="B1105" s="1167" t="s">
        <v>881</v>
      </c>
      <c r="C1105" s="1168"/>
      <c r="D1105" s="1168" t="s">
        <v>270</v>
      </c>
      <c r="E1105" s="1169">
        <v>0.08</v>
      </c>
      <c r="F1105" s="926">
        <f>Bahan!E107</f>
        <v>206250</v>
      </c>
      <c r="G1105" s="926">
        <f t="shared" si="106"/>
        <v>16500</v>
      </c>
    </row>
    <row r="1106" spans="1:7" s="111" customFormat="1">
      <c r="A1106" s="918"/>
      <c r="B1106" s="930"/>
      <c r="C1106" s="940" t="s">
        <v>642</v>
      </c>
      <c r="D1106" s="941"/>
      <c r="E1106" s="942"/>
      <c r="F1106" s="943"/>
      <c r="G1106" s="944">
        <f>SUM(G1104:G1105)</f>
        <v>147800</v>
      </c>
    </row>
    <row r="1107" spans="1:7" s="111" customFormat="1">
      <c r="A1107" s="918" t="s">
        <v>80</v>
      </c>
      <c r="B1107" s="919" t="s">
        <v>250</v>
      </c>
      <c r="C1107" s="937"/>
      <c r="D1107" s="946"/>
      <c r="E1107" s="947"/>
      <c r="F1107" s="948"/>
      <c r="G1107" s="926">
        <v>0</v>
      </c>
    </row>
    <row r="1108" spans="1:7" s="111" customFormat="1">
      <c r="A1108" s="960"/>
      <c r="B1108" s="961"/>
      <c r="C1108" s="962" t="s">
        <v>287</v>
      </c>
      <c r="D1108" s="941"/>
      <c r="E1108" s="942"/>
      <c r="F1108" s="943"/>
      <c r="G1108" s="944">
        <v>0</v>
      </c>
    </row>
    <row r="1109" spans="1:7" s="111" customFormat="1">
      <c r="A1109" s="963" t="s">
        <v>83</v>
      </c>
      <c r="B1109" s="964" t="s">
        <v>292</v>
      </c>
      <c r="C1109" s="965"/>
      <c r="D1109" s="915"/>
      <c r="E1109" s="966"/>
      <c r="F1109" s="967"/>
      <c r="G1109" s="968">
        <f>+G1108+G1106+G1102</f>
        <v>290521</v>
      </c>
    </row>
    <row r="1110" spans="1:7" s="111" customFormat="1">
      <c r="A1110" s="963" t="s">
        <v>84</v>
      </c>
      <c r="B1110" s="969" t="s">
        <v>293</v>
      </c>
      <c r="C1110" s="912"/>
      <c r="D1110" s="915"/>
      <c r="E1110" s="970">
        <f>$I$2</f>
        <v>0.1</v>
      </c>
      <c r="F1110" s="967"/>
      <c r="G1110" s="968">
        <f>+G1109*E1110</f>
        <v>29052.100000000002</v>
      </c>
    </row>
    <row r="1111" spans="1:7" s="111" customFormat="1" ht="15" thickBot="1">
      <c r="A1111" s="971" t="s">
        <v>85</v>
      </c>
      <c r="B1111" s="972" t="s">
        <v>86</v>
      </c>
      <c r="C1111" s="973"/>
      <c r="D1111" s="973"/>
      <c r="E1111" s="974"/>
      <c r="F1111" s="975"/>
      <c r="G1111" s="976">
        <f>+G1110+G1109</f>
        <v>319573.09999999998</v>
      </c>
    </row>
    <row r="1112" spans="1:7" s="111" customFormat="1" ht="15" thickTop="1">
      <c r="A1112" s="10"/>
      <c r="B1112" s="10"/>
      <c r="C1112" s="10"/>
      <c r="D1112" s="10"/>
      <c r="E1112" s="1004"/>
      <c r="F1112" s="10"/>
      <c r="G1112" s="46"/>
    </row>
    <row r="1113" spans="1:7">
      <c r="A1113" s="10" t="s">
        <v>407</v>
      </c>
    </row>
    <row r="1114" spans="1:7" ht="12.75" customHeight="1">
      <c r="A1114" s="10" t="s">
        <v>408</v>
      </c>
    </row>
    <row r="1115" spans="1:7" ht="12.75" customHeight="1" thickBot="1">
      <c r="A1115" s="10" t="s">
        <v>606</v>
      </c>
    </row>
    <row r="1116" spans="1:7" ht="12.75" customHeight="1" thickTop="1">
      <c r="A1116" s="1797" t="s">
        <v>275</v>
      </c>
      <c r="B1116" s="1799" t="s">
        <v>295</v>
      </c>
      <c r="C1116" s="1799" t="s">
        <v>276</v>
      </c>
      <c r="D1116" s="1799" t="s">
        <v>277</v>
      </c>
      <c r="E1116" s="1801" t="s">
        <v>278</v>
      </c>
      <c r="F1116" s="916" t="s">
        <v>279</v>
      </c>
      <c r="G1116" s="916" t="s">
        <v>280</v>
      </c>
    </row>
    <row r="1117" spans="1:7" ht="12.75" customHeight="1">
      <c r="A1117" s="1798"/>
      <c r="B1117" s="1800"/>
      <c r="C1117" s="1800"/>
      <c r="D1117" s="1800"/>
      <c r="E1117" s="1802"/>
      <c r="F1117" s="917" t="s">
        <v>67</v>
      </c>
      <c r="G1117" s="917" t="s">
        <v>67</v>
      </c>
    </row>
    <row r="1118" spans="1:7" ht="12.75" customHeight="1">
      <c r="A1118" s="918" t="s">
        <v>68</v>
      </c>
      <c r="B1118" s="919" t="s">
        <v>298</v>
      </c>
      <c r="C1118" s="920"/>
      <c r="D1118" s="920"/>
      <c r="E1118" s="921"/>
      <c r="F1118" s="922"/>
      <c r="G1118" s="922"/>
    </row>
    <row r="1119" spans="1:7" ht="12.75" customHeight="1">
      <c r="A1119" s="918"/>
      <c r="B1119" s="923" t="s">
        <v>69</v>
      </c>
      <c r="C1119" s="924" t="s">
        <v>70</v>
      </c>
      <c r="D1119" s="924" t="s">
        <v>71</v>
      </c>
      <c r="E1119" s="1155">
        <v>0.4</v>
      </c>
      <c r="F1119" s="926">
        <f>Upah!$F$26</f>
        <v>130000</v>
      </c>
      <c r="G1119" s="926">
        <f>+F1119*E1119</f>
        <v>52000</v>
      </c>
    </row>
    <row r="1120" spans="1:7" ht="12.75" customHeight="1">
      <c r="A1120" s="918"/>
      <c r="B1120" s="1164" t="s">
        <v>54</v>
      </c>
      <c r="C1120" s="993" t="s">
        <v>72</v>
      </c>
      <c r="D1120" s="993" t="s">
        <v>71</v>
      </c>
      <c r="E1120" s="1155">
        <v>0.2</v>
      </c>
      <c r="F1120" s="995">
        <f>Upah!$F$17</f>
        <v>140000</v>
      </c>
      <c r="G1120" s="926">
        <f t="shared" ref="G1120:G1121" si="107">+F1120*E1120</f>
        <v>28000</v>
      </c>
    </row>
    <row r="1121" spans="1:7" ht="12.75" customHeight="1">
      <c r="A1121" s="918"/>
      <c r="B1121" s="923" t="s">
        <v>73</v>
      </c>
      <c r="C1121" s="993" t="s">
        <v>74</v>
      </c>
      <c r="D1121" s="993" t="s">
        <v>71</v>
      </c>
      <c r="E1121" s="1155">
        <v>0.02</v>
      </c>
      <c r="F1121" s="995">
        <f>Upah!$F$10</f>
        <v>150000</v>
      </c>
      <c r="G1121" s="926">
        <f t="shared" si="107"/>
        <v>3000</v>
      </c>
    </row>
    <row r="1122" spans="1:7" ht="12.75" customHeight="1">
      <c r="A1122" s="918"/>
      <c r="B1122" s="923" t="s">
        <v>50</v>
      </c>
      <c r="C1122" s="927" t="s">
        <v>75</v>
      </c>
      <c r="D1122" s="927" t="s">
        <v>71</v>
      </c>
      <c r="E1122" s="1156">
        <v>7.0000000000000001E-3</v>
      </c>
      <c r="F1122" s="929">
        <f>Upah!$F$8</f>
        <v>170000</v>
      </c>
      <c r="G1122" s="929">
        <f>+F1122*E1122</f>
        <v>1190</v>
      </c>
    </row>
    <row r="1123" spans="1:7" ht="12.75" customHeight="1">
      <c r="A1123" s="918"/>
      <c r="B1123" s="930"/>
      <c r="C1123" s="931" t="s">
        <v>632</v>
      </c>
      <c r="D1123" s="932"/>
      <c r="E1123" s="933"/>
      <c r="F1123" s="934"/>
      <c r="G1123" s="935">
        <f>SUM(G1119:G1122)</f>
        <v>84190</v>
      </c>
    </row>
    <row r="1124" spans="1:7" ht="12.75" customHeight="1">
      <c r="A1124" s="918" t="s">
        <v>77</v>
      </c>
      <c r="B1124" s="945" t="s">
        <v>299</v>
      </c>
      <c r="C1124" s="946"/>
      <c r="D1124" s="946"/>
      <c r="E1124" s="947"/>
      <c r="F1124" s="948"/>
      <c r="G1124" s="948"/>
    </row>
    <row r="1125" spans="1:7" ht="12.75" customHeight="1">
      <c r="A1125" s="1170"/>
      <c r="B1125" s="1167" t="s">
        <v>605</v>
      </c>
      <c r="C1125" s="1168"/>
      <c r="D1125" s="1168" t="s">
        <v>291</v>
      </c>
      <c r="E1125" s="1169">
        <f>E998</f>
        <v>2.9169999999999998</v>
      </c>
      <c r="F1125" s="926">
        <f>F998</f>
        <v>45000</v>
      </c>
      <c r="G1125" s="926">
        <f t="shared" ref="G1125" si="108">+F1125*E1125</f>
        <v>131265</v>
      </c>
    </row>
    <row r="1126" spans="1:7" ht="12.75" customHeight="1">
      <c r="A1126" s="1170"/>
      <c r="B1126" s="1176" t="s">
        <v>87</v>
      </c>
      <c r="C1126" s="1177"/>
      <c r="D1126" s="1177" t="s">
        <v>268</v>
      </c>
      <c r="E1126" s="1178">
        <v>9.3000000000000007</v>
      </c>
      <c r="F1126" s="926">
        <f>Bahan!$E$286</f>
        <v>1450</v>
      </c>
      <c r="G1126" s="926">
        <f t="shared" ref="G1126" si="109">+F1126*E1126</f>
        <v>13485.000000000002</v>
      </c>
    </row>
    <row r="1127" spans="1:7" ht="12.75" customHeight="1">
      <c r="A1127" s="1224"/>
      <c r="B1127" s="1167" t="s">
        <v>88</v>
      </c>
      <c r="C1127" s="1168"/>
      <c r="D1127" s="1168" t="s">
        <v>270</v>
      </c>
      <c r="E1127" s="1169">
        <v>1.7999999999999999E-2</v>
      </c>
      <c r="F1127" s="926">
        <f>Bahan!$E$106</f>
        <v>270000</v>
      </c>
      <c r="G1127" s="926">
        <f>+F1127*E1127</f>
        <v>4860</v>
      </c>
    </row>
    <row r="1128" spans="1:7" ht="12.75" customHeight="1">
      <c r="A1128" s="918"/>
      <c r="B1128" s="930"/>
      <c r="C1128" s="940" t="s">
        <v>642</v>
      </c>
      <c r="D1128" s="941"/>
      <c r="E1128" s="942"/>
      <c r="F1128" s="943"/>
      <c r="G1128" s="944">
        <f>SUM(G1125:G1127)</f>
        <v>149610</v>
      </c>
    </row>
    <row r="1129" spans="1:7" ht="12.75" customHeight="1">
      <c r="A1129" s="918" t="s">
        <v>80</v>
      </c>
      <c r="B1129" s="919" t="s">
        <v>250</v>
      </c>
      <c r="C1129" s="937"/>
      <c r="D1129" s="946"/>
      <c r="E1129" s="947"/>
      <c r="F1129" s="948"/>
      <c r="G1129" s="926">
        <v>0</v>
      </c>
    </row>
    <row r="1130" spans="1:7" ht="12.75" customHeight="1">
      <c r="A1130" s="960"/>
      <c r="B1130" s="961"/>
      <c r="C1130" s="962" t="s">
        <v>287</v>
      </c>
      <c r="D1130" s="941"/>
      <c r="E1130" s="942"/>
      <c r="F1130" s="943"/>
      <c r="G1130" s="944">
        <v>0</v>
      </c>
    </row>
    <row r="1131" spans="1:7" ht="12.75" customHeight="1">
      <c r="A1131" s="963" t="s">
        <v>83</v>
      </c>
      <c r="B1131" s="964" t="s">
        <v>292</v>
      </c>
      <c r="C1131" s="965"/>
      <c r="D1131" s="915"/>
      <c r="E1131" s="966"/>
      <c r="F1131" s="967"/>
      <c r="G1131" s="968">
        <f>+G1130+G1128+G1123</f>
        <v>233800</v>
      </c>
    </row>
    <row r="1132" spans="1:7" ht="12.75" customHeight="1">
      <c r="A1132" s="963" t="s">
        <v>84</v>
      </c>
      <c r="B1132" s="969" t="s">
        <v>293</v>
      </c>
      <c r="C1132" s="912"/>
      <c r="D1132" s="915"/>
      <c r="E1132" s="970">
        <f>$I$2</f>
        <v>0.1</v>
      </c>
      <c r="F1132" s="967"/>
      <c r="G1132" s="968">
        <f>+G1131*E1132</f>
        <v>23380</v>
      </c>
    </row>
    <row r="1133" spans="1:7" ht="12.75" customHeight="1" thickBot="1">
      <c r="A1133" s="971" t="s">
        <v>85</v>
      </c>
      <c r="B1133" s="972" t="s">
        <v>86</v>
      </c>
      <c r="C1133" s="973"/>
      <c r="D1133" s="973"/>
      <c r="E1133" s="974"/>
      <c r="F1133" s="975"/>
      <c r="G1133" s="976">
        <f>+G1132+G1131</f>
        <v>257180</v>
      </c>
    </row>
    <row r="1134" spans="1:7" ht="11.25" customHeight="1" thickTop="1"/>
    <row r="1135" spans="1:7" s="111" customFormat="1" ht="11.25" customHeight="1">
      <c r="A1135" s="10"/>
      <c r="B1135" s="10"/>
      <c r="C1135" s="10"/>
      <c r="D1135" s="10"/>
      <c r="E1135" s="1004"/>
      <c r="F1135" s="10"/>
      <c r="G1135" s="46"/>
    </row>
    <row r="1136" spans="1:7" s="111" customFormat="1" ht="11.25" customHeight="1">
      <c r="A1136" s="10"/>
      <c r="B1136" s="10"/>
      <c r="C1136" s="10"/>
      <c r="D1136" s="10"/>
      <c r="E1136" s="1004"/>
      <c r="F1136" s="10"/>
      <c r="G1136" s="46"/>
    </row>
    <row r="1137" spans="1:7" s="111" customFormat="1" ht="11.25" customHeight="1">
      <c r="A1137" s="10"/>
      <c r="B1137" s="10"/>
      <c r="C1137" s="10"/>
      <c r="D1137" s="10"/>
      <c r="E1137" s="1004"/>
      <c r="F1137" s="10"/>
      <c r="G1137" s="46"/>
    </row>
    <row r="1138" spans="1:7" s="111" customFormat="1" ht="11.25" customHeight="1">
      <c r="A1138" s="10"/>
      <c r="B1138" s="10"/>
      <c r="C1138" s="10"/>
      <c r="D1138" s="10"/>
      <c r="E1138" s="1004"/>
      <c r="F1138" s="10"/>
      <c r="G1138" s="46"/>
    </row>
    <row r="1139" spans="1:7" s="111" customFormat="1" ht="11.25" customHeight="1">
      <c r="A1139" s="10"/>
      <c r="B1139" s="10"/>
      <c r="C1139" s="10"/>
      <c r="D1139" s="10"/>
      <c r="E1139" s="1004"/>
      <c r="F1139" s="10"/>
      <c r="G1139" s="46"/>
    </row>
    <row r="1140" spans="1:7" s="111" customFormat="1" ht="11.25" customHeight="1">
      <c r="A1140" s="10"/>
      <c r="B1140" s="10"/>
      <c r="C1140" s="10"/>
      <c r="D1140" s="10"/>
      <c r="E1140" s="1004"/>
      <c r="F1140" s="10"/>
      <c r="G1140" s="46"/>
    </row>
    <row r="1141" spans="1:7" s="111" customFormat="1" ht="11.25" customHeight="1">
      <c r="A1141" s="10"/>
      <c r="B1141" s="10"/>
      <c r="C1141" s="10"/>
      <c r="D1141" s="10"/>
      <c r="E1141" s="1004"/>
      <c r="F1141" s="10"/>
      <c r="G1141" s="46"/>
    </row>
    <row r="1142" spans="1:7" s="111" customFormat="1" ht="11.25" customHeight="1">
      <c r="A1142" s="10"/>
      <c r="B1142" s="10"/>
      <c r="C1142" s="10"/>
      <c r="D1142" s="10"/>
      <c r="E1142" s="1004"/>
      <c r="F1142" s="10"/>
      <c r="G1142" s="46"/>
    </row>
    <row r="1143" spans="1:7" s="111" customFormat="1" ht="11.25" customHeight="1">
      <c r="A1143" s="10"/>
      <c r="B1143" s="10"/>
      <c r="C1143" s="10"/>
      <c r="D1143" s="10"/>
      <c r="E1143" s="1004"/>
      <c r="F1143" s="10"/>
      <c r="G1143" s="46"/>
    </row>
    <row r="1144" spans="1:7" s="111" customFormat="1" ht="11.25" customHeight="1">
      <c r="A1144" s="10"/>
      <c r="B1144" s="10"/>
      <c r="C1144" s="10"/>
      <c r="D1144" s="10"/>
      <c r="E1144" s="1004"/>
      <c r="F1144" s="10"/>
      <c r="G1144" s="46"/>
    </row>
    <row r="1145" spans="1:7" s="111" customFormat="1" ht="11.25" customHeight="1">
      <c r="A1145" s="10"/>
      <c r="B1145" s="10"/>
      <c r="C1145" s="10"/>
      <c r="D1145" s="10"/>
      <c r="E1145" s="1004"/>
      <c r="F1145" s="10"/>
      <c r="G1145" s="46"/>
    </row>
    <row r="1146" spans="1:7" s="111" customFormat="1" ht="11.25" customHeight="1">
      <c r="A1146" s="10"/>
      <c r="B1146" s="10"/>
      <c r="C1146" s="10"/>
      <c r="D1146" s="10"/>
      <c r="E1146" s="1004"/>
      <c r="F1146" s="10"/>
      <c r="G1146" s="46"/>
    </row>
    <row r="1147" spans="1:7" s="111" customFormat="1" ht="11.25" customHeight="1">
      <c r="A1147" s="10"/>
      <c r="B1147" s="10"/>
      <c r="C1147" s="10"/>
      <c r="D1147" s="10"/>
      <c r="E1147" s="1004"/>
      <c r="F1147" s="10"/>
      <c r="G1147" s="46"/>
    </row>
    <row r="1148" spans="1:7" s="111" customFormat="1" ht="11.25" customHeight="1">
      <c r="A1148" s="10"/>
      <c r="B1148" s="10"/>
      <c r="C1148" s="10"/>
      <c r="D1148" s="10"/>
      <c r="E1148" s="1004"/>
      <c r="F1148" s="10"/>
      <c r="G1148" s="46"/>
    </row>
    <row r="1149" spans="1:7" ht="12.75" customHeight="1">
      <c r="A1149" s="10" t="s">
        <v>488</v>
      </c>
    </row>
    <row r="1150" spans="1:7" ht="12.75" customHeight="1" thickBot="1">
      <c r="A1150" s="10" t="s">
        <v>489</v>
      </c>
    </row>
    <row r="1151" spans="1:7" ht="12.75" customHeight="1" thickTop="1">
      <c r="A1151" s="1804" t="s">
        <v>275</v>
      </c>
      <c r="B1151" s="1806" t="s">
        <v>295</v>
      </c>
      <c r="C1151" s="1806" t="s">
        <v>276</v>
      </c>
      <c r="D1151" s="1806" t="s">
        <v>277</v>
      </c>
      <c r="E1151" s="1863" t="s">
        <v>278</v>
      </c>
      <c r="F1151" s="1225" t="s">
        <v>279</v>
      </c>
      <c r="G1151" s="1225" t="s">
        <v>280</v>
      </c>
    </row>
    <row r="1152" spans="1:7" ht="12.75" customHeight="1">
      <c r="A1152" s="1805"/>
      <c r="B1152" s="1807"/>
      <c r="C1152" s="1807"/>
      <c r="D1152" s="1807"/>
      <c r="E1152" s="1864"/>
      <c r="F1152" s="1226" t="s">
        <v>67</v>
      </c>
      <c r="G1152" s="1226" t="s">
        <v>67</v>
      </c>
    </row>
    <row r="1153" spans="1:7" ht="12.75" customHeight="1">
      <c r="A1153" s="1227" t="s">
        <v>68</v>
      </c>
      <c r="B1153" s="1228" t="s">
        <v>298</v>
      </c>
      <c r="C1153" s="1229"/>
      <c r="D1153" s="1229"/>
      <c r="E1153" s="1230"/>
      <c r="F1153" s="1231"/>
      <c r="G1153" s="1231"/>
    </row>
    <row r="1154" spans="1:7" ht="12.75" customHeight="1">
      <c r="A1154" s="1227"/>
      <c r="B1154" s="1232" t="s">
        <v>69</v>
      </c>
      <c r="C1154" s="1233" t="s">
        <v>70</v>
      </c>
      <c r="D1154" s="1233" t="s">
        <v>71</v>
      </c>
      <c r="E1154" s="1234">
        <v>0.125</v>
      </c>
      <c r="F1154" s="1235">
        <f>Upah!$F$26</f>
        <v>130000</v>
      </c>
      <c r="G1154" s="1235">
        <f>+F1154*E1154</f>
        <v>16250</v>
      </c>
    </row>
    <row r="1155" spans="1:7" ht="12.75" customHeight="1">
      <c r="A1155" s="1227"/>
      <c r="B1155" s="1236" t="s">
        <v>56</v>
      </c>
      <c r="C1155" s="1237" t="s">
        <v>72</v>
      </c>
      <c r="D1155" s="1237" t="s">
        <v>71</v>
      </c>
      <c r="E1155" s="1234">
        <v>0.125</v>
      </c>
      <c r="F1155" s="1238">
        <f>Upah!$F$19</f>
        <v>140000</v>
      </c>
      <c r="G1155" s="1235">
        <f t="shared" ref="G1155:G1156" si="110">+F1155*E1155</f>
        <v>17500</v>
      </c>
    </row>
    <row r="1156" spans="1:7" ht="12.75" customHeight="1">
      <c r="A1156" s="1227"/>
      <c r="B1156" s="1232" t="s">
        <v>73</v>
      </c>
      <c r="C1156" s="1237" t="s">
        <v>74</v>
      </c>
      <c r="D1156" s="1237" t="s">
        <v>71</v>
      </c>
      <c r="E1156" s="1234">
        <v>1.2999999999999999E-2</v>
      </c>
      <c r="F1156" s="1238">
        <f>Upah!$F$10</f>
        <v>150000</v>
      </c>
      <c r="G1156" s="1235">
        <f t="shared" si="110"/>
        <v>1950</v>
      </c>
    </row>
    <row r="1157" spans="1:7" ht="12.75" customHeight="1">
      <c r="A1157" s="1227"/>
      <c r="B1157" s="1232" t="s">
        <v>50</v>
      </c>
      <c r="C1157" s="1239" t="s">
        <v>75</v>
      </c>
      <c r="D1157" s="1239" t="s">
        <v>71</v>
      </c>
      <c r="E1157" s="1240">
        <v>4.0000000000000001E-3</v>
      </c>
      <c r="F1157" s="1241">
        <f>Upah!$F$8</f>
        <v>170000</v>
      </c>
      <c r="G1157" s="1241">
        <f>+F1157*E1157</f>
        <v>680</v>
      </c>
    </row>
    <row r="1158" spans="1:7" ht="12.75" customHeight="1">
      <c r="A1158" s="1227"/>
      <c r="B1158" s="1242"/>
      <c r="C1158" s="1243" t="s">
        <v>632</v>
      </c>
      <c r="D1158" s="1244"/>
      <c r="E1158" s="1245"/>
      <c r="F1158" s="1246"/>
      <c r="G1158" s="1247">
        <f>SUM(G1154:G1157)</f>
        <v>36380</v>
      </c>
    </row>
    <row r="1159" spans="1:7" ht="12.75" customHeight="1">
      <c r="A1159" s="1227" t="s">
        <v>77</v>
      </c>
      <c r="B1159" s="1248" t="s">
        <v>299</v>
      </c>
      <c r="C1159" s="1249"/>
      <c r="D1159" s="1249"/>
      <c r="E1159" s="1250"/>
      <c r="F1159" s="1251"/>
      <c r="G1159" s="1251"/>
    </row>
    <row r="1160" spans="1:7" ht="12.75" customHeight="1">
      <c r="A1160" s="1252"/>
      <c r="B1160" s="1253" t="s">
        <v>377</v>
      </c>
      <c r="C1160" s="1254"/>
      <c r="D1160" s="1254" t="s">
        <v>372</v>
      </c>
      <c r="E1160" s="1255">
        <v>4</v>
      </c>
      <c r="F1160" s="1256">
        <f>Bahan!$E$259</f>
        <v>60000</v>
      </c>
      <c r="G1160" s="1256">
        <f t="shared" ref="G1160:G1161" si="111">+F1160*E1160</f>
        <v>240000</v>
      </c>
    </row>
    <row r="1161" spans="1:7" ht="12.75" customHeight="1">
      <c r="A1161" s="1252"/>
      <c r="B1161" s="1257" t="s">
        <v>378</v>
      </c>
      <c r="C1161" s="1258"/>
      <c r="D1161" s="1258" t="s">
        <v>268</v>
      </c>
      <c r="E1161" s="1259">
        <v>0.05</v>
      </c>
      <c r="F1161" s="1256">
        <f>Bahan!$E$132</f>
        <v>23600</v>
      </c>
      <c r="G1161" s="1256">
        <f t="shared" si="111"/>
        <v>1180</v>
      </c>
    </row>
    <row r="1162" spans="1:7" ht="12.75" customHeight="1">
      <c r="A1162" s="1260"/>
      <c r="B1162" s="1253" t="s">
        <v>490</v>
      </c>
      <c r="C1162" s="1254"/>
      <c r="D1162" s="1254" t="s">
        <v>291</v>
      </c>
      <c r="E1162" s="1255">
        <v>4</v>
      </c>
      <c r="F1162" s="1235">
        <v>0</v>
      </c>
      <c r="G1162" s="1235">
        <f>+F1162*E1162</f>
        <v>0</v>
      </c>
    </row>
    <row r="1163" spans="1:7" ht="12.75" customHeight="1">
      <c r="A1163" s="1227"/>
      <c r="B1163" s="1242"/>
      <c r="C1163" s="1261" t="s">
        <v>642</v>
      </c>
      <c r="D1163" s="1262"/>
      <c r="E1163" s="1263"/>
      <c r="F1163" s="1264"/>
      <c r="G1163" s="1265">
        <f>SUM(G1160:G1162)</f>
        <v>241180</v>
      </c>
    </row>
    <row r="1164" spans="1:7" ht="12.75" customHeight="1">
      <c r="A1164" s="1227" t="s">
        <v>80</v>
      </c>
      <c r="B1164" s="1228" t="s">
        <v>250</v>
      </c>
      <c r="C1164" s="1266"/>
      <c r="D1164" s="1249"/>
      <c r="E1164" s="1250"/>
      <c r="F1164" s="1251"/>
      <c r="G1164" s="1235">
        <v>0</v>
      </c>
    </row>
    <row r="1165" spans="1:7" ht="12.75" customHeight="1">
      <c r="A1165" s="1267"/>
      <c r="B1165" s="1268"/>
      <c r="C1165" s="1269" t="s">
        <v>287</v>
      </c>
      <c r="D1165" s="1262"/>
      <c r="E1165" s="1263"/>
      <c r="F1165" s="1264"/>
      <c r="G1165" s="1265">
        <v>0</v>
      </c>
    </row>
    <row r="1166" spans="1:7" ht="12.75" customHeight="1">
      <c r="A1166" s="1270" t="s">
        <v>83</v>
      </c>
      <c r="B1166" s="1271" t="s">
        <v>292</v>
      </c>
      <c r="C1166" s="1272"/>
      <c r="D1166" s="1273"/>
      <c r="E1166" s="1274"/>
      <c r="F1166" s="1275"/>
      <c r="G1166" s="1276">
        <f>+G1165+G1163+G1158</f>
        <v>277560</v>
      </c>
    </row>
    <row r="1167" spans="1:7" ht="12.75" customHeight="1">
      <c r="A1167" s="1270" t="s">
        <v>84</v>
      </c>
      <c r="B1167" s="1277" t="s">
        <v>293</v>
      </c>
      <c r="C1167" s="1278"/>
      <c r="D1167" s="1273"/>
      <c r="E1167" s="970">
        <f>$I$2</f>
        <v>0.1</v>
      </c>
      <c r="F1167" s="1275"/>
      <c r="G1167" s="1276">
        <f>+G1166*E1167</f>
        <v>27756</v>
      </c>
    </row>
    <row r="1168" spans="1:7" ht="12.75" customHeight="1" thickBot="1">
      <c r="A1168" s="1279" t="s">
        <v>85</v>
      </c>
      <c r="B1168" s="1280" t="s">
        <v>86</v>
      </c>
      <c r="C1168" s="1281"/>
      <c r="D1168" s="1281"/>
      <c r="E1168" s="1282"/>
      <c r="F1168" s="1283"/>
      <c r="G1168" s="1284">
        <f>+G1167+G1166</f>
        <v>305316</v>
      </c>
    </row>
    <row r="1169" spans="1:7" ht="7.5" customHeight="1" thickTop="1"/>
    <row r="1170" spans="1:7" s="413" customFormat="1" ht="12.75" customHeight="1" thickBot="1">
      <c r="A1170" s="10" t="s">
        <v>732</v>
      </c>
      <c r="B1170" s="10"/>
      <c r="C1170" s="10"/>
      <c r="D1170" s="10"/>
      <c r="E1170" s="1004"/>
      <c r="F1170" s="10"/>
      <c r="G1170" s="46"/>
    </row>
    <row r="1171" spans="1:7" s="413" customFormat="1" ht="12.75" customHeight="1" thickTop="1">
      <c r="A1171" s="1797" t="s">
        <v>275</v>
      </c>
      <c r="B1171" s="1799" t="s">
        <v>295</v>
      </c>
      <c r="C1171" s="1799" t="s">
        <v>276</v>
      </c>
      <c r="D1171" s="1799" t="s">
        <v>277</v>
      </c>
      <c r="E1171" s="1801" t="s">
        <v>278</v>
      </c>
      <c r="F1171" s="916" t="s">
        <v>279</v>
      </c>
      <c r="G1171" s="916" t="s">
        <v>280</v>
      </c>
    </row>
    <row r="1172" spans="1:7" s="413" customFormat="1" ht="12.75" customHeight="1">
      <c r="A1172" s="1798"/>
      <c r="B1172" s="1800"/>
      <c r="C1172" s="1800"/>
      <c r="D1172" s="1800"/>
      <c r="E1172" s="1802"/>
      <c r="F1172" s="917" t="s">
        <v>67</v>
      </c>
      <c r="G1172" s="917" t="s">
        <v>67</v>
      </c>
    </row>
    <row r="1173" spans="1:7" s="413" customFormat="1" ht="12.75" customHeight="1">
      <c r="A1173" s="918" t="s">
        <v>68</v>
      </c>
      <c r="B1173" s="919" t="s">
        <v>298</v>
      </c>
      <c r="C1173" s="920"/>
      <c r="D1173" s="920"/>
      <c r="E1173" s="921"/>
      <c r="F1173" s="922"/>
      <c r="G1173" s="922"/>
    </row>
    <row r="1174" spans="1:7" s="413" customFormat="1" ht="12.75" customHeight="1">
      <c r="A1174" s="918"/>
      <c r="B1174" s="923" t="s">
        <v>69</v>
      </c>
      <c r="C1174" s="924" t="s">
        <v>70</v>
      </c>
      <c r="D1174" s="924" t="s">
        <v>71</v>
      </c>
      <c r="E1174" s="1155">
        <v>0.25</v>
      </c>
      <c r="F1174" s="926">
        <f>Upah!$F$26</f>
        <v>130000</v>
      </c>
      <c r="G1174" s="926">
        <f>+F1174*E1174</f>
        <v>32500</v>
      </c>
    </row>
    <row r="1175" spans="1:7" s="413" customFormat="1" ht="12.75" customHeight="1">
      <c r="A1175" s="918"/>
      <c r="B1175" s="1164" t="s">
        <v>56</v>
      </c>
      <c r="C1175" s="993" t="s">
        <v>72</v>
      </c>
      <c r="D1175" s="993" t="s">
        <v>71</v>
      </c>
      <c r="E1175" s="1155">
        <v>0.25</v>
      </c>
      <c r="F1175" s="995">
        <f>Upah!$F$19</f>
        <v>140000</v>
      </c>
      <c r="G1175" s="926">
        <f t="shared" ref="G1175:G1176" si="112">+F1175*E1175</f>
        <v>35000</v>
      </c>
    </row>
    <row r="1176" spans="1:7" s="413" customFormat="1" ht="12.75" customHeight="1">
      <c r="A1176" s="918"/>
      <c r="B1176" s="923" t="s">
        <v>73</v>
      </c>
      <c r="C1176" s="993" t="s">
        <v>74</v>
      </c>
      <c r="D1176" s="993" t="s">
        <v>71</v>
      </c>
      <c r="E1176" s="1155">
        <v>2.5000000000000001E-2</v>
      </c>
      <c r="F1176" s="995">
        <f>Upah!$F$10</f>
        <v>150000</v>
      </c>
      <c r="G1176" s="926">
        <f t="shared" si="112"/>
        <v>3750</v>
      </c>
    </row>
    <row r="1177" spans="1:7" s="413" customFormat="1" ht="12.75" customHeight="1">
      <c r="A1177" s="918"/>
      <c r="B1177" s="923" t="s">
        <v>50</v>
      </c>
      <c r="C1177" s="927" t="s">
        <v>75</v>
      </c>
      <c r="D1177" s="927" t="s">
        <v>71</v>
      </c>
      <c r="E1177" s="1156">
        <v>1.2999999999999999E-2</v>
      </c>
      <c r="F1177" s="929">
        <f>Upah!$F$8</f>
        <v>170000</v>
      </c>
      <c r="G1177" s="929">
        <f>+F1177*E1177</f>
        <v>2210</v>
      </c>
    </row>
    <row r="1178" spans="1:7" s="413" customFormat="1" ht="12.75" customHeight="1">
      <c r="A1178" s="918"/>
      <c r="B1178" s="930"/>
      <c r="C1178" s="931" t="s">
        <v>632</v>
      </c>
      <c r="D1178" s="932"/>
      <c r="E1178" s="933"/>
      <c r="F1178" s="934"/>
      <c r="G1178" s="935">
        <f>SUM(G1174:G1177)</f>
        <v>73460</v>
      </c>
    </row>
    <row r="1179" spans="1:7" s="413" customFormat="1" ht="12.75" customHeight="1">
      <c r="A1179" s="918" t="s">
        <v>77</v>
      </c>
      <c r="B1179" s="945" t="s">
        <v>299</v>
      </c>
      <c r="C1179" s="946"/>
      <c r="D1179" s="946"/>
      <c r="E1179" s="947"/>
      <c r="F1179" s="948"/>
      <c r="G1179" s="948"/>
    </row>
    <row r="1180" spans="1:7" s="413" customFormat="1" ht="12.75" customHeight="1">
      <c r="A1180" s="1170"/>
      <c r="B1180" s="1167" t="s">
        <v>899</v>
      </c>
      <c r="C1180" s="1168"/>
      <c r="D1180" s="1168" t="s">
        <v>20</v>
      </c>
      <c r="E1180" s="1169">
        <v>3.5</v>
      </c>
      <c r="F1180" s="1160">
        <f>Bahan!$E$124/6</f>
        <v>20000</v>
      </c>
      <c r="G1180" s="1160">
        <f t="shared" ref="G1180" si="113">+F1180*E1180</f>
        <v>70000</v>
      </c>
    </row>
    <row r="1181" spans="1:7" s="413" customFormat="1" ht="12.75" customHeight="1">
      <c r="A1181" s="1170"/>
      <c r="B1181" s="1176" t="s">
        <v>93</v>
      </c>
      <c r="C1181" s="1177"/>
      <c r="D1181" s="1177" t="s">
        <v>91</v>
      </c>
      <c r="E1181" s="1178" t="s">
        <v>381</v>
      </c>
      <c r="F1181" s="1160">
        <f>G1180</f>
        <v>70000</v>
      </c>
      <c r="G1181" s="1160">
        <f>F1181/10</f>
        <v>7000</v>
      </c>
    </row>
    <row r="1182" spans="1:7" s="413" customFormat="1" ht="12.75" customHeight="1">
      <c r="A1182" s="918"/>
      <c r="B1182" s="930"/>
      <c r="C1182" s="940" t="s">
        <v>642</v>
      </c>
      <c r="D1182" s="941"/>
      <c r="E1182" s="942"/>
      <c r="F1182" s="943"/>
      <c r="G1182" s="944">
        <f>SUM(G1180:G1181)</f>
        <v>77000</v>
      </c>
    </row>
    <row r="1183" spans="1:7" s="413" customFormat="1" ht="12.75" customHeight="1">
      <c r="A1183" s="918" t="s">
        <v>80</v>
      </c>
      <c r="B1183" s="919" t="s">
        <v>250</v>
      </c>
      <c r="C1183" s="937"/>
      <c r="D1183" s="946"/>
      <c r="E1183" s="947"/>
      <c r="F1183" s="948"/>
      <c r="G1183" s="926">
        <v>0</v>
      </c>
    </row>
    <row r="1184" spans="1:7" s="413" customFormat="1" ht="12.75" customHeight="1">
      <c r="A1184" s="960"/>
      <c r="B1184" s="961"/>
      <c r="C1184" s="962" t="s">
        <v>287</v>
      </c>
      <c r="D1184" s="941"/>
      <c r="E1184" s="942"/>
      <c r="F1184" s="943"/>
      <c r="G1184" s="944">
        <v>0</v>
      </c>
    </row>
    <row r="1185" spans="1:7" s="413" customFormat="1" ht="12.75" customHeight="1">
      <c r="A1185" s="963" t="s">
        <v>83</v>
      </c>
      <c r="B1185" s="964" t="s">
        <v>292</v>
      </c>
      <c r="C1185" s="965"/>
      <c r="D1185" s="915"/>
      <c r="E1185" s="966"/>
      <c r="F1185" s="967"/>
      <c r="G1185" s="968">
        <f>+G1184+G1182+G1178</f>
        <v>150460</v>
      </c>
    </row>
    <row r="1186" spans="1:7" s="413" customFormat="1" ht="12.75" customHeight="1">
      <c r="A1186" s="963" t="s">
        <v>84</v>
      </c>
      <c r="B1186" s="969" t="s">
        <v>293</v>
      </c>
      <c r="C1186" s="912"/>
      <c r="D1186" s="915"/>
      <c r="E1186" s="970">
        <f>$I$2</f>
        <v>0.1</v>
      </c>
      <c r="F1186" s="967"/>
      <c r="G1186" s="968">
        <f>+G1185*E1186</f>
        <v>15046</v>
      </c>
    </row>
    <row r="1187" spans="1:7" s="413" customFormat="1" ht="12.75" customHeight="1" thickBot="1">
      <c r="A1187" s="971" t="s">
        <v>85</v>
      </c>
      <c r="B1187" s="972" t="s">
        <v>86</v>
      </c>
      <c r="C1187" s="973"/>
      <c r="D1187" s="973"/>
      <c r="E1187" s="974"/>
      <c r="F1187" s="975"/>
      <c r="G1187" s="976">
        <f>+G1186+G1185</f>
        <v>165506</v>
      </c>
    </row>
    <row r="1188" spans="1:7" s="413" customFormat="1" ht="8.25" customHeight="1" thickTop="1">
      <c r="A1188" s="10"/>
      <c r="B1188" s="10"/>
      <c r="C1188" s="10"/>
      <c r="D1188" s="10"/>
      <c r="E1188" s="1004"/>
      <c r="F1188" s="10"/>
      <c r="G1188" s="46"/>
    </row>
    <row r="1189" spans="1:7" ht="12.75" customHeight="1">
      <c r="A1189" s="10" t="s">
        <v>491</v>
      </c>
    </row>
    <row r="1190" spans="1:7" s="413" customFormat="1" ht="12.75" customHeight="1" thickBot="1">
      <c r="A1190" s="10" t="s">
        <v>895</v>
      </c>
      <c r="B1190" s="10"/>
      <c r="C1190" s="1285"/>
      <c r="D1190" s="1286"/>
      <c r="E1190" s="1287"/>
      <c r="F1190" s="1285"/>
      <c r="G1190" s="1288"/>
    </row>
    <row r="1191" spans="1:7" s="413" customFormat="1" ht="12.75" customHeight="1" thickTop="1">
      <c r="A1191" s="1804" t="s">
        <v>275</v>
      </c>
      <c r="B1191" s="1806" t="s">
        <v>295</v>
      </c>
      <c r="C1191" s="1806" t="s">
        <v>276</v>
      </c>
      <c r="D1191" s="1806" t="s">
        <v>277</v>
      </c>
      <c r="E1191" s="1863" t="s">
        <v>278</v>
      </c>
      <c r="F1191" s="1225" t="s">
        <v>279</v>
      </c>
      <c r="G1191" s="1225" t="s">
        <v>280</v>
      </c>
    </row>
    <row r="1192" spans="1:7" s="413" customFormat="1" ht="12.75" customHeight="1">
      <c r="A1192" s="1805"/>
      <c r="B1192" s="1807"/>
      <c r="C1192" s="1807"/>
      <c r="D1192" s="1807"/>
      <c r="E1192" s="1864"/>
      <c r="F1192" s="1226" t="s">
        <v>67</v>
      </c>
      <c r="G1192" s="1226" t="s">
        <v>67</v>
      </c>
    </row>
    <row r="1193" spans="1:7" s="413" customFormat="1" ht="12.75" customHeight="1">
      <c r="A1193" s="1289" t="s">
        <v>262</v>
      </c>
      <c r="B1193" s="1290" t="s">
        <v>267</v>
      </c>
      <c r="C1193" s="1289"/>
      <c r="D1193" s="1289"/>
      <c r="E1193" s="1185"/>
      <c r="F1193" s="1186"/>
      <c r="G1193" s="1291"/>
    </row>
    <row r="1194" spans="1:7" s="413" customFormat="1" ht="12.75" customHeight="1">
      <c r="A1194" s="1292">
        <v>1</v>
      </c>
      <c r="B1194" s="1293" t="s">
        <v>69</v>
      </c>
      <c r="C1194" s="1294" t="s">
        <v>70</v>
      </c>
      <c r="D1194" s="1294" t="s">
        <v>71</v>
      </c>
      <c r="E1194" s="1190">
        <v>0.8</v>
      </c>
      <c r="F1194" s="1295">
        <f>F1154</f>
        <v>130000</v>
      </c>
      <c r="G1194" s="1295">
        <f>F1194*E1194</f>
        <v>104000</v>
      </c>
    </row>
    <row r="1195" spans="1:7" s="413" customFormat="1" ht="12.75" customHeight="1">
      <c r="A1195" s="1292">
        <v>2</v>
      </c>
      <c r="B1195" s="1293" t="s">
        <v>602</v>
      </c>
      <c r="C1195" s="1294" t="s">
        <v>72</v>
      </c>
      <c r="D1195" s="1294" t="s">
        <v>71</v>
      </c>
      <c r="E1195" s="1190">
        <v>2.4</v>
      </c>
      <c r="F1195" s="1295">
        <f>Upah!F25</f>
        <v>140000</v>
      </c>
      <c r="G1195" s="1295">
        <f>F1195*E1195</f>
        <v>336000</v>
      </c>
    </row>
    <row r="1196" spans="1:7" s="413" customFormat="1" ht="12.75" customHeight="1">
      <c r="A1196" s="1292">
        <v>3</v>
      </c>
      <c r="B1196" s="1293" t="s">
        <v>73</v>
      </c>
      <c r="C1196" s="1294" t="s">
        <v>74</v>
      </c>
      <c r="D1196" s="1294" t="s">
        <v>71</v>
      </c>
      <c r="E1196" s="1190">
        <v>0.24</v>
      </c>
      <c r="F1196" s="1295">
        <f>F1156</f>
        <v>150000</v>
      </c>
      <c r="G1196" s="1295">
        <f>F1196*E1196</f>
        <v>36000</v>
      </c>
    </row>
    <row r="1197" spans="1:7" s="413" customFormat="1" ht="12.75" customHeight="1">
      <c r="A1197" s="1296">
        <v>4</v>
      </c>
      <c r="B1197" s="1297" t="s">
        <v>50</v>
      </c>
      <c r="C1197" s="1298" t="s">
        <v>75</v>
      </c>
      <c r="D1197" s="1298" t="s">
        <v>71</v>
      </c>
      <c r="E1197" s="1195">
        <v>0.04</v>
      </c>
      <c r="F1197" s="1299">
        <f>F1157</f>
        <v>170000</v>
      </c>
      <c r="G1197" s="1299">
        <f>F1197*E1197</f>
        <v>6800</v>
      </c>
    </row>
    <row r="1198" spans="1:7" s="413" customFormat="1" ht="12.75" customHeight="1">
      <c r="A1198" s="1300" t="s">
        <v>553</v>
      </c>
      <c r="B1198" s="1301"/>
      <c r="C1198" s="1301"/>
      <c r="D1198" s="1302"/>
      <c r="E1198" s="1303"/>
      <c r="F1198" s="1304"/>
      <c r="G1198" s="1305">
        <f>SUM(G1194:G1197)</f>
        <v>482800</v>
      </c>
    </row>
    <row r="1199" spans="1:7" s="413" customFormat="1" ht="12.75" customHeight="1">
      <c r="A1199" s="1306" t="s">
        <v>263</v>
      </c>
      <c r="B1199" s="1307" t="s">
        <v>78</v>
      </c>
      <c r="C1199" s="1306"/>
      <c r="D1199" s="1306"/>
      <c r="E1199" s="1205"/>
      <c r="F1199" s="1308"/>
      <c r="G1199" s="1308"/>
    </row>
    <row r="1200" spans="1:7" s="413" customFormat="1" ht="12.75" customHeight="1">
      <c r="A1200" s="1292">
        <v>1</v>
      </c>
      <c r="B1200" s="1309" t="s">
        <v>893</v>
      </c>
      <c r="C1200" s="1309"/>
      <c r="D1200" s="1310" t="s">
        <v>422</v>
      </c>
      <c r="E1200" s="1311">
        <v>2.4E-2</v>
      </c>
      <c r="F1200" s="1312">
        <f>Bahan!E194</f>
        <v>10000000</v>
      </c>
      <c r="G1200" s="1295">
        <f t="shared" ref="G1200:G1201" si="114">F1200*E1200</f>
        <v>240000</v>
      </c>
    </row>
    <row r="1201" spans="1:7" s="413" customFormat="1" ht="12.75" customHeight="1">
      <c r="A1201" s="1296">
        <v>2</v>
      </c>
      <c r="B1201" s="1313" t="s">
        <v>894</v>
      </c>
      <c r="C1201" s="1313"/>
      <c r="D1201" s="1314" t="s">
        <v>268</v>
      </c>
      <c r="E1201" s="1315">
        <v>0.3</v>
      </c>
      <c r="F1201" s="1316">
        <f>Bahan!E200</f>
        <v>47500</v>
      </c>
      <c r="G1201" s="1299">
        <f t="shared" si="114"/>
        <v>14250</v>
      </c>
    </row>
    <row r="1202" spans="1:7" s="413" customFormat="1" ht="12.75" customHeight="1">
      <c r="A1202" s="1300" t="s">
        <v>79</v>
      </c>
      <c r="B1202" s="1301"/>
      <c r="C1202" s="1301"/>
      <c r="D1202" s="1302"/>
      <c r="E1202" s="1303"/>
      <c r="F1202" s="1304"/>
      <c r="G1202" s="1305">
        <f>SUM(G1200:G1201)</f>
        <v>254250</v>
      </c>
    </row>
    <row r="1203" spans="1:7" s="413" customFormat="1" ht="12.75" customHeight="1">
      <c r="A1203" s="1317" t="s">
        <v>264</v>
      </c>
      <c r="B1203" s="1318" t="s">
        <v>81</v>
      </c>
      <c r="C1203" s="1317"/>
      <c r="D1203" s="1317"/>
      <c r="E1203" s="1319"/>
      <c r="F1203" s="1320"/>
      <c r="G1203" s="1320"/>
    </row>
    <row r="1204" spans="1:7" s="413" customFormat="1" ht="12.75" customHeight="1">
      <c r="A1204" s="1317"/>
      <c r="B1204" s="1318"/>
      <c r="C1204" s="1317"/>
      <c r="D1204" s="1317"/>
      <c r="E1204" s="1319"/>
      <c r="F1204" s="1320"/>
      <c r="G1204" s="1320"/>
    </row>
    <row r="1205" spans="1:7" s="413" customFormat="1" ht="12.75" customHeight="1">
      <c r="A1205" s="1300" t="s">
        <v>82</v>
      </c>
      <c r="B1205" s="1301"/>
      <c r="C1205" s="1301"/>
      <c r="D1205" s="1302"/>
      <c r="E1205" s="1303"/>
      <c r="F1205" s="1304"/>
      <c r="G1205" s="1305">
        <v>0</v>
      </c>
    </row>
    <row r="1206" spans="1:7" s="413" customFormat="1" ht="12.75" customHeight="1">
      <c r="A1206" s="1321" t="s">
        <v>281</v>
      </c>
      <c r="B1206" s="1322" t="s">
        <v>292</v>
      </c>
      <c r="C1206" s="1322"/>
      <c r="D1206" s="1321"/>
      <c r="E1206" s="1323"/>
      <c r="F1206" s="1324"/>
      <c r="G1206" s="1325">
        <f>G1205+G1202+G1198</f>
        <v>737050</v>
      </c>
    </row>
    <row r="1207" spans="1:7" s="413" customFormat="1" ht="12.75" customHeight="1">
      <c r="A1207" s="1326" t="s">
        <v>90</v>
      </c>
      <c r="B1207" s="1327" t="s">
        <v>293</v>
      </c>
      <c r="C1207" s="1328"/>
      <c r="D1207" s="1329"/>
      <c r="E1207" s="970">
        <f>$I$2</f>
        <v>0.1</v>
      </c>
      <c r="F1207" s="1275"/>
      <c r="G1207" s="1276">
        <f>+G1206*E1207</f>
        <v>73705</v>
      </c>
    </row>
    <row r="1208" spans="1:7" s="413" customFormat="1" ht="12.75" customHeight="1">
      <c r="A1208" s="1330" t="s">
        <v>94</v>
      </c>
      <c r="B1208" s="1331" t="s">
        <v>86</v>
      </c>
      <c r="C1208" s="1331"/>
      <c r="D1208" s="1332"/>
      <c r="E1208" s="1333"/>
      <c r="F1208" s="1334"/>
      <c r="G1208" s="1335">
        <f>G1207+G1206</f>
        <v>810755</v>
      </c>
    </row>
    <row r="1209" spans="1:7" s="97" customFormat="1" ht="8.25" customHeight="1">
      <c r="A1209" s="1336"/>
      <c r="B1209" s="1337"/>
      <c r="C1209" s="1337"/>
      <c r="D1209" s="1338"/>
      <c r="E1209" s="1339"/>
      <c r="F1209" s="1340"/>
      <c r="G1209" s="1341"/>
    </row>
    <row r="1210" spans="1:7" s="413" customFormat="1" ht="12.75" customHeight="1" thickBot="1">
      <c r="A1210" s="10" t="s">
        <v>896</v>
      </c>
      <c r="B1210" s="10"/>
      <c r="C1210" s="10"/>
      <c r="D1210" s="10"/>
      <c r="E1210" s="1004"/>
      <c r="F1210" s="10"/>
      <c r="G1210" s="46"/>
    </row>
    <row r="1211" spans="1:7" s="413" customFormat="1" ht="12.75" customHeight="1" thickTop="1">
      <c r="A1211" s="1797" t="s">
        <v>275</v>
      </c>
      <c r="B1211" s="1799" t="s">
        <v>295</v>
      </c>
      <c r="C1211" s="1799" t="s">
        <v>276</v>
      </c>
      <c r="D1211" s="1799" t="s">
        <v>277</v>
      </c>
      <c r="E1211" s="1801" t="s">
        <v>278</v>
      </c>
      <c r="F1211" s="916" t="s">
        <v>279</v>
      </c>
      <c r="G1211" s="916" t="s">
        <v>280</v>
      </c>
    </row>
    <row r="1212" spans="1:7" s="413" customFormat="1" ht="12.75" customHeight="1">
      <c r="A1212" s="1798"/>
      <c r="B1212" s="1800"/>
      <c r="C1212" s="1800"/>
      <c r="D1212" s="1800"/>
      <c r="E1212" s="1802"/>
      <c r="F1212" s="917" t="s">
        <v>67</v>
      </c>
      <c r="G1212" s="917" t="s">
        <v>67</v>
      </c>
    </row>
    <row r="1213" spans="1:7" s="413" customFormat="1" ht="12.75" customHeight="1">
      <c r="A1213" s="918" t="s">
        <v>68</v>
      </c>
      <c r="B1213" s="919" t="s">
        <v>298</v>
      </c>
      <c r="C1213" s="920"/>
      <c r="D1213" s="920"/>
      <c r="E1213" s="921"/>
      <c r="F1213" s="922"/>
      <c r="G1213" s="922"/>
    </row>
    <row r="1214" spans="1:7" s="413" customFormat="1" ht="12.75" customHeight="1">
      <c r="A1214" s="918"/>
      <c r="B1214" s="923" t="s">
        <v>69</v>
      </c>
      <c r="C1214" s="924" t="s">
        <v>70</v>
      </c>
      <c r="D1214" s="924" t="s">
        <v>71</v>
      </c>
      <c r="E1214" s="1155">
        <v>1</v>
      </c>
      <c r="F1214" s="926">
        <f>Upah!$F$26</f>
        <v>130000</v>
      </c>
      <c r="G1214" s="926">
        <f>+F1214*E1214</f>
        <v>130000</v>
      </c>
    </row>
    <row r="1215" spans="1:7" s="413" customFormat="1" ht="12.75" customHeight="1">
      <c r="A1215" s="918"/>
      <c r="B1215" s="1164" t="s">
        <v>57</v>
      </c>
      <c r="C1215" s="993" t="s">
        <v>72</v>
      </c>
      <c r="D1215" s="993" t="s">
        <v>71</v>
      </c>
      <c r="E1215" s="1155">
        <v>3</v>
      </c>
      <c r="F1215" s="995">
        <f>Upah!$F$18</f>
        <v>140000</v>
      </c>
      <c r="G1215" s="926">
        <f t="shared" ref="G1215:G1216" si="115">+F1215*E1215</f>
        <v>420000</v>
      </c>
    </row>
    <row r="1216" spans="1:7" s="413" customFormat="1" ht="12.75" customHeight="1">
      <c r="A1216" s="918"/>
      <c r="B1216" s="923" t="s">
        <v>73</v>
      </c>
      <c r="C1216" s="993" t="s">
        <v>74</v>
      </c>
      <c r="D1216" s="993" t="s">
        <v>71</v>
      </c>
      <c r="E1216" s="1155">
        <v>0.3</v>
      </c>
      <c r="F1216" s="995">
        <f>Upah!$F$10</f>
        <v>150000</v>
      </c>
      <c r="G1216" s="926">
        <f t="shared" si="115"/>
        <v>45000</v>
      </c>
    </row>
    <row r="1217" spans="1:7" s="413" customFormat="1" ht="12.75" customHeight="1">
      <c r="A1217" s="918"/>
      <c r="B1217" s="923" t="s">
        <v>50</v>
      </c>
      <c r="C1217" s="927" t="s">
        <v>75</v>
      </c>
      <c r="D1217" s="927" t="s">
        <v>71</v>
      </c>
      <c r="E1217" s="1156">
        <v>0.1</v>
      </c>
      <c r="F1217" s="929">
        <f>Upah!$F$8</f>
        <v>170000</v>
      </c>
      <c r="G1217" s="929">
        <f>+F1217*E1217</f>
        <v>17000</v>
      </c>
    </row>
    <row r="1218" spans="1:7" s="413" customFormat="1" ht="12.75" customHeight="1">
      <c r="A1218" s="918"/>
      <c r="B1218" s="930"/>
      <c r="C1218" s="931" t="s">
        <v>632</v>
      </c>
      <c r="D1218" s="932"/>
      <c r="E1218" s="933"/>
      <c r="F1218" s="934"/>
      <c r="G1218" s="935">
        <f>SUM(G1214:G1217)</f>
        <v>612000</v>
      </c>
    </row>
    <row r="1219" spans="1:7" s="413" customFormat="1" ht="12.75" customHeight="1">
      <c r="A1219" s="918" t="s">
        <v>77</v>
      </c>
      <c r="B1219" s="945" t="s">
        <v>299</v>
      </c>
      <c r="C1219" s="946"/>
      <c r="D1219" s="946"/>
      <c r="E1219" s="947"/>
      <c r="F1219" s="948"/>
      <c r="G1219" s="948"/>
    </row>
    <row r="1220" spans="1:7" s="413" customFormat="1" ht="12.75" customHeight="1">
      <c r="A1220" s="1170"/>
      <c r="B1220" s="1167" t="s">
        <v>749</v>
      </c>
      <c r="C1220" s="1168"/>
      <c r="D1220" s="1168" t="s">
        <v>270</v>
      </c>
      <c r="E1220" s="1169">
        <v>0.04</v>
      </c>
      <c r="F1220" s="1160">
        <f>Bahan!$E$194</f>
        <v>10000000</v>
      </c>
      <c r="G1220" s="1160">
        <f t="shared" ref="G1220:G1221" si="116">+F1220*E1220</f>
        <v>400000</v>
      </c>
    </row>
    <row r="1221" spans="1:7" s="413" customFormat="1" ht="12.75" customHeight="1">
      <c r="A1221" s="1170"/>
      <c r="B1221" s="1176" t="s">
        <v>492</v>
      </c>
      <c r="C1221" s="1177"/>
      <c r="D1221" s="1177" t="s">
        <v>268</v>
      </c>
      <c r="E1221" s="1178">
        <v>0.5</v>
      </c>
      <c r="F1221" s="1160">
        <f>Bahan!$E$200</f>
        <v>47500</v>
      </c>
      <c r="G1221" s="1160">
        <f t="shared" si="116"/>
        <v>23750</v>
      </c>
    </row>
    <row r="1222" spans="1:7" s="413" customFormat="1" ht="12.75" customHeight="1">
      <c r="A1222" s="918"/>
      <c r="B1222" s="930"/>
      <c r="C1222" s="940" t="s">
        <v>642</v>
      </c>
      <c r="D1222" s="941"/>
      <c r="E1222" s="942"/>
      <c r="F1222" s="943"/>
      <c r="G1222" s="944">
        <f>SUM(G1220:G1221)</f>
        <v>423750</v>
      </c>
    </row>
    <row r="1223" spans="1:7" s="413" customFormat="1" ht="12.75" customHeight="1">
      <c r="A1223" s="918" t="s">
        <v>80</v>
      </c>
      <c r="B1223" s="919" t="s">
        <v>250</v>
      </c>
      <c r="C1223" s="937"/>
      <c r="D1223" s="946"/>
      <c r="E1223" s="947"/>
      <c r="F1223" s="948"/>
      <c r="G1223" s="926">
        <v>0</v>
      </c>
    </row>
    <row r="1224" spans="1:7" s="413" customFormat="1" ht="12.75" customHeight="1">
      <c r="A1224" s="960"/>
      <c r="B1224" s="961"/>
      <c r="C1224" s="962" t="s">
        <v>287</v>
      </c>
      <c r="D1224" s="941"/>
      <c r="E1224" s="942"/>
      <c r="F1224" s="943"/>
      <c r="G1224" s="944">
        <v>0</v>
      </c>
    </row>
    <row r="1225" spans="1:7" s="413" customFormat="1" ht="12.75" customHeight="1">
      <c r="A1225" s="963" t="s">
        <v>83</v>
      </c>
      <c r="B1225" s="964" t="s">
        <v>292</v>
      </c>
      <c r="C1225" s="965"/>
      <c r="D1225" s="915"/>
      <c r="E1225" s="966"/>
      <c r="F1225" s="967"/>
      <c r="G1225" s="968">
        <f>+G1224+G1222+G1218</f>
        <v>1035750</v>
      </c>
    </row>
    <row r="1226" spans="1:7" s="413" customFormat="1" ht="12.75" customHeight="1">
      <c r="A1226" s="963" t="s">
        <v>84</v>
      </c>
      <c r="B1226" s="969" t="s">
        <v>293</v>
      </c>
      <c r="C1226" s="912"/>
      <c r="D1226" s="915"/>
      <c r="E1226" s="970">
        <f>$I$2</f>
        <v>0.1</v>
      </c>
      <c r="F1226" s="967"/>
      <c r="G1226" s="968">
        <f>+G1225*E1226</f>
        <v>103575</v>
      </c>
    </row>
    <row r="1227" spans="1:7" s="413" customFormat="1" ht="12.75" customHeight="1" thickBot="1">
      <c r="A1227" s="971" t="s">
        <v>85</v>
      </c>
      <c r="B1227" s="972" t="s">
        <v>86</v>
      </c>
      <c r="C1227" s="973"/>
      <c r="D1227" s="973"/>
      <c r="E1227" s="974"/>
      <c r="F1227" s="975"/>
      <c r="G1227" s="976">
        <f>+G1226+G1225</f>
        <v>1139325</v>
      </c>
    </row>
    <row r="1228" spans="1:7" ht="9" customHeight="1" thickTop="1"/>
    <row r="1229" spans="1:7" s="413" customFormat="1" ht="12.75" customHeight="1" thickBot="1">
      <c r="A1229" s="10" t="s">
        <v>1042</v>
      </c>
      <c r="B1229" s="10"/>
      <c r="C1229" s="10"/>
      <c r="D1229" s="10"/>
      <c r="E1229" s="1004"/>
      <c r="F1229" s="10"/>
      <c r="G1229" s="46"/>
    </row>
    <row r="1230" spans="1:7" s="413" customFormat="1" ht="12.75" customHeight="1" thickTop="1">
      <c r="A1230" s="1797" t="s">
        <v>275</v>
      </c>
      <c r="B1230" s="1799" t="s">
        <v>295</v>
      </c>
      <c r="C1230" s="1799" t="s">
        <v>276</v>
      </c>
      <c r="D1230" s="1799" t="s">
        <v>277</v>
      </c>
      <c r="E1230" s="1801" t="s">
        <v>278</v>
      </c>
      <c r="F1230" s="916" t="s">
        <v>279</v>
      </c>
      <c r="G1230" s="916" t="s">
        <v>280</v>
      </c>
    </row>
    <row r="1231" spans="1:7" s="413" customFormat="1" ht="12.75" customHeight="1">
      <c r="A1231" s="1798"/>
      <c r="B1231" s="1800"/>
      <c r="C1231" s="1800"/>
      <c r="D1231" s="1800"/>
      <c r="E1231" s="1802"/>
      <c r="F1231" s="917" t="s">
        <v>67</v>
      </c>
      <c r="G1231" s="917" t="s">
        <v>67</v>
      </c>
    </row>
    <row r="1232" spans="1:7" s="413" customFormat="1" ht="12.75" customHeight="1">
      <c r="A1232" s="918" t="s">
        <v>68</v>
      </c>
      <c r="B1232" s="919" t="s">
        <v>298</v>
      </c>
      <c r="C1232" s="920"/>
      <c r="D1232" s="920"/>
      <c r="E1232" s="921"/>
      <c r="F1232" s="922"/>
      <c r="G1232" s="922"/>
    </row>
    <row r="1233" spans="1:7" s="413" customFormat="1" ht="12.75" customHeight="1">
      <c r="A1233" s="918"/>
      <c r="B1233" s="923" t="s">
        <v>69</v>
      </c>
      <c r="C1233" s="924" t="s">
        <v>70</v>
      </c>
      <c r="D1233" s="924" t="s">
        <v>71</v>
      </c>
      <c r="E1233" s="1155">
        <v>0.85</v>
      </c>
      <c r="F1233" s="926">
        <f>Upah!$F$26</f>
        <v>130000</v>
      </c>
      <c r="G1233" s="926">
        <f>+F1233*E1233</f>
        <v>110500</v>
      </c>
    </row>
    <row r="1234" spans="1:7" s="413" customFormat="1" ht="12.75" customHeight="1">
      <c r="A1234" s="918"/>
      <c r="B1234" s="1164" t="s">
        <v>57</v>
      </c>
      <c r="C1234" s="993" t="s">
        <v>72</v>
      </c>
      <c r="D1234" s="993" t="s">
        <v>71</v>
      </c>
      <c r="E1234" s="1155">
        <v>2.5499999999999998</v>
      </c>
      <c r="F1234" s="995">
        <f>Upah!$F$18</f>
        <v>140000</v>
      </c>
      <c r="G1234" s="926">
        <f t="shared" ref="G1234:G1235" si="117">+F1234*E1234</f>
        <v>357000</v>
      </c>
    </row>
    <row r="1235" spans="1:7" s="413" customFormat="1" ht="12.75" customHeight="1">
      <c r="A1235" s="918"/>
      <c r="B1235" s="923" t="s">
        <v>73</v>
      </c>
      <c r="C1235" s="993" t="s">
        <v>74</v>
      </c>
      <c r="D1235" s="993" t="s">
        <v>71</v>
      </c>
      <c r="E1235" s="1155">
        <v>0.255</v>
      </c>
      <c r="F1235" s="995">
        <f>Upah!$F$10</f>
        <v>150000</v>
      </c>
      <c r="G1235" s="926">
        <f t="shared" si="117"/>
        <v>38250</v>
      </c>
    </row>
    <row r="1236" spans="1:7" s="413" customFormat="1" ht="12.75" customHeight="1">
      <c r="A1236" s="918"/>
      <c r="B1236" s="923" t="s">
        <v>50</v>
      </c>
      <c r="C1236" s="927" t="s">
        <v>75</v>
      </c>
      <c r="D1236" s="927" t="s">
        <v>71</v>
      </c>
      <c r="E1236" s="1156">
        <v>4.2999999999999997E-2</v>
      </c>
      <c r="F1236" s="929">
        <f>Upah!$F$8</f>
        <v>170000</v>
      </c>
      <c r="G1236" s="929">
        <f>+F1236*E1236</f>
        <v>7309.9999999999991</v>
      </c>
    </row>
    <row r="1237" spans="1:7" s="413" customFormat="1" ht="12.75" customHeight="1">
      <c r="A1237" s="918"/>
      <c r="B1237" s="930"/>
      <c r="C1237" s="931" t="s">
        <v>632</v>
      </c>
      <c r="D1237" s="932"/>
      <c r="E1237" s="933"/>
      <c r="F1237" s="934"/>
      <c r="G1237" s="935">
        <f>SUM(G1233:G1236)</f>
        <v>513060</v>
      </c>
    </row>
    <row r="1238" spans="1:7" s="413" customFormat="1" ht="12.75" customHeight="1">
      <c r="A1238" s="1342" t="s">
        <v>77</v>
      </c>
      <c r="B1238" s="1343" t="s">
        <v>299</v>
      </c>
      <c r="C1238" s="1022"/>
      <c r="D1238" s="946"/>
      <c r="E1238" s="947"/>
      <c r="F1238" s="948"/>
      <c r="G1238" s="948"/>
    </row>
    <row r="1239" spans="1:7" s="413" customFormat="1" ht="12.75" customHeight="1">
      <c r="A1239" s="1342"/>
      <c r="B1239" s="1344" t="s">
        <v>749</v>
      </c>
      <c r="C1239" s="1345"/>
      <c r="D1239" s="1346" t="s">
        <v>270</v>
      </c>
      <c r="E1239" s="1169">
        <v>2.5000000000000001E-2</v>
      </c>
      <c r="F1239" s="1160">
        <f>Bahan!$E$194</f>
        <v>10000000</v>
      </c>
      <c r="G1239" s="1160">
        <f t="shared" ref="G1239:G1241" si="118">+F1239*E1239</f>
        <v>250000</v>
      </c>
    </row>
    <row r="1240" spans="1:7" s="413" customFormat="1" ht="13.5" customHeight="1">
      <c r="A1240" s="10"/>
      <c r="B1240" s="1347" t="s">
        <v>495</v>
      </c>
      <c r="C1240" s="1347"/>
      <c r="D1240" s="1348" t="s">
        <v>14</v>
      </c>
      <c r="E1240" s="1169">
        <v>0.03</v>
      </c>
      <c r="F1240" s="1160">
        <f>Bahan!E229</f>
        <v>20000</v>
      </c>
      <c r="G1240" s="1160">
        <f t="shared" ref="G1240" si="119">+F1240*E1240</f>
        <v>600</v>
      </c>
    </row>
    <row r="1241" spans="1:7" s="413" customFormat="1" ht="12.75" customHeight="1">
      <c r="A1241" s="1342"/>
      <c r="B1241" s="1344" t="s">
        <v>492</v>
      </c>
      <c r="C1241" s="1345"/>
      <c r="D1241" s="1346" t="s">
        <v>268</v>
      </c>
      <c r="E1241" s="1178">
        <v>0.8</v>
      </c>
      <c r="F1241" s="1160">
        <f>Bahan!$E$200</f>
        <v>47500</v>
      </c>
      <c r="G1241" s="1160">
        <f t="shared" si="118"/>
        <v>38000</v>
      </c>
    </row>
    <row r="1242" spans="1:7" s="413" customFormat="1" ht="12.75" customHeight="1">
      <c r="A1242" s="10"/>
      <c r="B1242" s="1347" t="s">
        <v>1043</v>
      </c>
      <c r="C1242" s="1347"/>
      <c r="D1242" s="1348" t="s">
        <v>265</v>
      </c>
      <c r="E1242" s="1169">
        <v>1</v>
      </c>
      <c r="F1242" s="1160">
        <f>Bahan!E254</f>
        <v>87000</v>
      </c>
      <c r="G1242" s="1160">
        <f t="shared" ref="G1242" si="120">+F1242*E1242</f>
        <v>87000</v>
      </c>
    </row>
    <row r="1243" spans="1:7" s="413" customFormat="1" ht="12.75" customHeight="1">
      <c r="A1243" s="1342"/>
      <c r="B1243" s="1349" t="s">
        <v>532</v>
      </c>
      <c r="C1243" s="1350"/>
      <c r="D1243" s="1351" t="s">
        <v>357</v>
      </c>
      <c r="E1243" s="1169">
        <v>0.5</v>
      </c>
      <c r="F1243" s="1160">
        <f>Bahan!E167</f>
        <v>11000</v>
      </c>
      <c r="G1243" s="1160">
        <f t="shared" ref="G1243" si="121">+F1243*E1243</f>
        <v>5500</v>
      </c>
    </row>
    <row r="1244" spans="1:7" s="413" customFormat="1" ht="12.75" customHeight="1">
      <c r="A1244" s="918"/>
      <c r="B1244" s="930"/>
      <c r="C1244" s="940" t="s">
        <v>642</v>
      </c>
      <c r="D1244" s="941"/>
      <c r="E1244" s="942"/>
      <c r="F1244" s="943"/>
      <c r="G1244" s="944">
        <f>SUM(G1239:G1241)</f>
        <v>288600</v>
      </c>
    </row>
    <row r="1245" spans="1:7" s="413" customFormat="1" ht="12.75" customHeight="1">
      <c r="A1245" s="918" t="s">
        <v>80</v>
      </c>
      <c r="B1245" s="919" t="s">
        <v>250</v>
      </c>
      <c r="C1245" s="937"/>
      <c r="D1245" s="946"/>
      <c r="E1245" s="947"/>
      <c r="F1245" s="948"/>
      <c r="G1245" s="926">
        <v>0</v>
      </c>
    </row>
    <row r="1246" spans="1:7" s="413" customFormat="1" ht="12.75" customHeight="1">
      <c r="A1246" s="960"/>
      <c r="B1246" s="961"/>
      <c r="C1246" s="962" t="s">
        <v>287</v>
      </c>
      <c r="D1246" s="941"/>
      <c r="E1246" s="942"/>
      <c r="F1246" s="943"/>
      <c r="G1246" s="944">
        <v>0</v>
      </c>
    </row>
    <row r="1247" spans="1:7" s="413" customFormat="1" ht="12.75" customHeight="1">
      <c r="A1247" s="963" t="s">
        <v>83</v>
      </c>
      <c r="B1247" s="964" t="s">
        <v>292</v>
      </c>
      <c r="C1247" s="965"/>
      <c r="D1247" s="915"/>
      <c r="E1247" s="966"/>
      <c r="F1247" s="967"/>
      <c r="G1247" s="968">
        <f>+G1246+G1244+G1237</f>
        <v>801660</v>
      </c>
    </row>
    <row r="1248" spans="1:7" s="413" customFormat="1" ht="12.75" customHeight="1">
      <c r="A1248" s="963" t="s">
        <v>84</v>
      </c>
      <c r="B1248" s="969" t="s">
        <v>293</v>
      </c>
      <c r="C1248" s="912"/>
      <c r="D1248" s="915"/>
      <c r="E1248" s="970">
        <f>$I$2</f>
        <v>0.1</v>
      </c>
      <c r="F1248" s="967"/>
      <c r="G1248" s="968">
        <f>+G1247*E1248</f>
        <v>80166</v>
      </c>
    </row>
    <row r="1249" spans="1:7" s="413" customFormat="1" ht="12.75" customHeight="1" thickBot="1">
      <c r="A1249" s="971" t="s">
        <v>85</v>
      </c>
      <c r="B1249" s="972" t="s">
        <v>86</v>
      </c>
      <c r="C1249" s="973"/>
      <c r="D1249" s="973"/>
      <c r="E1249" s="974"/>
      <c r="F1249" s="975"/>
      <c r="G1249" s="976">
        <f>+G1248+G1247</f>
        <v>881826</v>
      </c>
    </row>
    <row r="1250" spans="1:7" s="96" customFormat="1" ht="12.75" customHeight="1" thickTop="1">
      <c r="A1250" s="10"/>
      <c r="B1250" s="10"/>
      <c r="C1250" s="10"/>
      <c r="D1250" s="10"/>
      <c r="E1250" s="1004"/>
      <c r="F1250" s="10"/>
      <c r="G1250" s="46"/>
    </row>
    <row r="1251" spans="1:7" ht="12.75" customHeight="1">
      <c r="A1251" s="10" t="s">
        <v>494</v>
      </c>
    </row>
    <row r="1252" spans="1:7" ht="12.75" customHeight="1" thickBot="1">
      <c r="A1252" s="10" t="s">
        <v>496</v>
      </c>
    </row>
    <row r="1253" spans="1:7" ht="12.75" customHeight="1" thickTop="1">
      <c r="A1253" s="1797" t="s">
        <v>275</v>
      </c>
      <c r="B1253" s="1799" t="s">
        <v>295</v>
      </c>
      <c r="C1253" s="1799" t="s">
        <v>276</v>
      </c>
      <c r="D1253" s="1799" t="s">
        <v>277</v>
      </c>
      <c r="E1253" s="1801" t="s">
        <v>278</v>
      </c>
      <c r="F1253" s="916" t="s">
        <v>279</v>
      </c>
      <c r="G1253" s="916" t="s">
        <v>280</v>
      </c>
    </row>
    <row r="1254" spans="1:7" ht="12.75" customHeight="1">
      <c r="A1254" s="1798"/>
      <c r="B1254" s="1800"/>
      <c r="C1254" s="1800"/>
      <c r="D1254" s="1800"/>
      <c r="E1254" s="1802"/>
      <c r="F1254" s="917" t="s">
        <v>67</v>
      </c>
      <c r="G1254" s="917" t="s">
        <v>67</v>
      </c>
    </row>
    <row r="1255" spans="1:7" ht="12.75" customHeight="1">
      <c r="A1255" s="918" t="s">
        <v>68</v>
      </c>
      <c r="B1255" s="919" t="s">
        <v>298</v>
      </c>
      <c r="C1255" s="920"/>
      <c r="D1255" s="920"/>
      <c r="E1255" s="921"/>
      <c r="F1255" s="922"/>
      <c r="G1255" s="922"/>
    </row>
    <row r="1256" spans="1:7" ht="12.75" customHeight="1">
      <c r="A1256" s="918"/>
      <c r="B1256" s="923" t="s">
        <v>69</v>
      </c>
      <c r="C1256" s="924" t="s">
        <v>70</v>
      </c>
      <c r="D1256" s="924" t="s">
        <v>71</v>
      </c>
      <c r="E1256" s="1155">
        <v>0.28570000000000001</v>
      </c>
      <c r="F1256" s="926">
        <f>Upah!$F$26</f>
        <v>130000</v>
      </c>
      <c r="G1256" s="926">
        <f>+F1256*E1256</f>
        <v>37141</v>
      </c>
    </row>
    <row r="1257" spans="1:7" ht="12.75" customHeight="1">
      <c r="A1257" s="918"/>
      <c r="B1257" s="1164" t="s">
        <v>57</v>
      </c>
      <c r="C1257" s="993" t="s">
        <v>72</v>
      </c>
      <c r="D1257" s="993" t="s">
        <v>71</v>
      </c>
      <c r="E1257" s="1155">
        <v>0.1429</v>
      </c>
      <c r="F1257" s="995">
        <f>Upah!$F$18</f>
        <v>140000</v>
      </c>
      <c r="G1257" s="926">
        <f t="shared" ref="G1257:G1258" si="122">+F1257*E1257</f>
        <v>20006</v>
      </c>
    </row>
    <row r="1258" spans="1:7" ht="12.75" customHeight="1">
      <c r="A1258" s="918"/>
      <c r="B1258" s="923" t="s">
        <v>73</v>
      </c>
      <c r="C1258" s="993" t="s">
        <v>74</v>
      </c>
      <c r="D1258" s="993" t="s">
        <v>71</v>
      </c>
      <c r="E1258" s="1155">
        <v>1.43E-2</v>
      </c>
      <c r="F1258" s="995">
        <f>Upah!$F$10</f>
        <v>150000</v>
      </c>
      <c r="G1258" s="926">
        <f t="shared" si="122"/>
        <v>2145</v>
      </c>
    </row>
    <row r="1259" spans="1:7" ht="12.75" customHeight="1">
      <c r="A1259" s="918"/>
      <c r="B1259" s="923" t="s">
        <v>50</v>
      </c>
      <c r="C1259" s="927" t="s">
        <v>75</v>
      </c>
      <c r="D1259" s="927" t="s">
        <v>71</v>
      </c>
      <c r="E1259" s="1156">
        <v>4.7999999999999996E-3</v>
      </c>
      <c r="F1259" s="929">
        <f>Upah!$F$8</f>
        <v>170000</v>
      </c>
      <c r="G1259" s="929">
        <f>+F1259*E1259</f>
        <v>815.99999999999989</v>
      </c>
    </row>
    <row r="1260" spans="1:7" ht="12.75" customHeight="1">
      <c r="A1260" s="918"/>
      <c r="B1260" s="930"/>
      <c r="C1260" s="931" t="s">
        <v>632</v>
      </c>
      <c r="D1260" s="932"/>
      <c r="E1260" s="933"/>
      <c r="F1260" s="934"/>
      <c r="G1260" s="935">
        <f>SUM(G1256:G1259)</f>
        <v>60108</v>
      </c>
    </row>
    <row r="1261" spans="1:7" ht="12.75" customHeight="1">
      <c r="A1261" s="918" t="s">
        <v>77</v>
      </c>
      <c r="B1261" s="945" t="s">
        <v>299</v>
      </c>
      <c r="C1261" s="946"/>
      <c r="D1261" s="946"/>
      <c r="E1261" s="947"/>
      <c r="F1261" s="948"/>
      <c r="G1261" s="948"/>
    </row>
    <row r="1262" spans="1:7" ht="12.75" customHeight="1">
      <c r="A1262" s="1170"/>
      <c r="B1262" s="1167" t="s">
        <v>221</v>
      </c>
      <c r="C1262" s="1168"/>
      <c r="D1262" s="1168" t="s">
        <v>270</v>
      </c>
      <c r="E1262" s="1169">
        <v>8.6E-3</v>
      </c>
      <c r="F1262" s="1160">
        <f>Bahan!E191</f>
        <v>11500000</v>
      </c>
      <c r="G1262" s="1160">
        <f t="shared" ref="G1262:G1264" si="123">+F1262*E1262</f>
        <v>98900</v>
      </c>
    </row>
    <row r="1263" spans="1:7" ht="12.75" customHeight="1">
      <c r="A1263" s="1352"/>
      <c r="B1263" s="1353" t="s">
        <v>495</v>
      </c>
      <c r="C1263" s="1354"/>
      <c r="D1263" s="1354" t="s">
        <v>268</v>
      </c>
      <c r="E1263" s="1355">
        <v>0.12759999999999999</v>
      </c>
      <c r="F1263" s="1160">
        <f>Bahan!E228</f>
        <v>20000</v>
      </c>
      <c r="G1263" s="1160">
        <f t="shared" si="123"/>
        <v>2552</v>
      </c>
    </row>
    <row r="1264" spans="1:7" ht="12.75" customHeight="1">
      <c r="A1264" s="1352"/>
      <c r="B1264" s="1353" t="s">
        <v>492</v>
      </c>
      <c r="C1264" s="1354"/>
      <c r="D1264" s="1354" t="s">
        <v>268</v>
      </c>
      <c r="E1264" s="1355">
        <v>1</v>
      </c>
      <c r="F1264" s="1160">
        <f>Bahan!$E$200</f>
        <v>47500</v>
      </c>
      <c r="G1264" s="1160">
        <f t="shared" si="123"/>
        <v>47500</v>
      </c>
    </row>
    <row r="1265" spans="1:7" ht="12.75" customHeight="1">
      <c r="A1265" s="918"/>
      <c r="B1265" s="930"/>
      <c r="C1265" s="940" t="s">
        <v>642</v>
      </c>
      <c r="D1265" s="941"/>
      <c r="E1265" s="942"/>
      <c r="F1265" s="943"/>
      <c r="G1265" s="944">
        <f>SUM(G1262:G1264)</f>
        <v>148952</v>
      </c>
    </row>
    <row r="1266" spans="1:7" ht="12.75" customHeight="1">
      <c r="A1266" s="918" t="s">
        <v>80</v>
      </c>
      <c r="B1266" s="919" t="s">
        <v>250</v>
      </c>
      <c r="C1266" s="937"/>
      <c r="D1266" s="946"/>
      <c r="E1266" s="947"/>
      <c r="F1266" s="948"/>
      <c r="G1266" s="926">
        <v>0</v>
      </c>
    </row>
    <row r="1267" spans="1:7" ht="12.75" customHeight="1">
      <c r="A1267" s="960"/>
      <c r="B1267" s="961"/>
      <c r="C1267" s="962" t="s">
        <v>287</v>
      </c>
      <c r="D1267" s="941"/>
      <c r="E1267" s="942"/>
      <c r="F1267" s="943"/>
      <c r="G1267" s="944">
        <v>0</v>
      </c>
    </row>
    <row r="1268" spans="1:7" ht="12.75" customHeight="1">
      <c r="A1268" s="963" t="s">
        <v>83</v>
      </c>
      <c r="B1268" s="964" t="s">
        <v>292</v>
      </c>
      <c r="C1268" s="965"/>
      <c r="D1268" s="915"/>
      <c r="E1268" s="966"/>
      <c r="F1268" s="967"/>
      <c r="G1268" s="968">
        <f>+G1267+G1265+G1260</f>
        <v>209060</v>
      </c>
    </row>
    <row r="1269" spans="1:7" ht="12.75" customHeight="1">
      <c r="A1269" s="963" t="s">
        <v>84</v>
      </c>
      <c r="B1269" s="969" t="s">
        <v>293</v>
      </c>
      <c r="C1269" s="912"/>
      <c r="D1269" s="915"/>
      <c r="E1269" s="970">
        <f>$I$2</f>
        <v>0.1</v>
      </c>
      <c r="F1269" s="967"/>
      <c r="G1269" s="968">
        <f>+G1268*E1269</f>
        <v>20906</v>
      </c>
    </row>
    <row r="1270" spans="1:7" ht="12.75" customHeight="1" thickBot="1">
      <c r="A1270" s="971" t="s">
        <v>85</v>
      </c>
      <c r="B1270" s="972" t="s">
        <v>86</v>
      </c>
      <c r="C1270" s="973"/>
      <c r="D1270" s="973"/>
      <c r="E1270" s="974"/>
      <c r="F1270" s="975"/>
      <c r="G1270" s="976">
        <f>+G1269+G1268</f>
        <v>229966</v>
      </c>
    </row>
    <row r="1271" spans="1:7" ht="12.75" customHeight="1" thickTop="1"/>
    <row r="1272" spans="1:7" s="413" customFormat="1" ht="15" thickBot="1">
      <c r="A1272" s="10" t="s">
        <v>1041</v>
      </c>
      <c r="B1272" s="10"/>
      <c r="C1272" s="10"/>
      <c r="D1272" s="10"/>
      <c r="E1272" s="1004"/>
      <c r="F1272" s="10"/>
      <c r="G1272" s="46"/>
    </row>
    <row r="1273" spans="1:7" s="413" customFormat="1" ht="15" thickTop="1">
      <c r="A1273" s="1797" t="s">
        <v>275</v>
      </c>
      <c r="B1273" s="1799" t="s">
        <v>295</v>
      </c>
      <c r="C1273" s="1799" t="s">
        <v>276</v>
      </c>
      <c r="D1273" s="1799" t="s">
        <v>277</v>
      </c>
      <c r="E1273" s="1801" t="s">
        <v>278</v>
      </c>
      <c r="F1273" s="916" t="s">
        <v>279</v>
      </c>
      <c r="G1273" s="916" t="s">
        <v>280</v>
      </c>
    </row>
    <row r="1274" spans="1:7" s="413" customFormat="1">
      <c r="A1274" s="1798"/>
      <c r="B1274" s="1800"/>
      <c r="C1274" s="1800"/>
      <c r="D1274" s="1800"/>
      <c r="E1274" s="1802"/>
      <c r="F1274" s="917" t="s">
        <v>67</v>
      </c>
      <c r="G1274" s="917" t="s">
        <v>67</v>
      </c>
    </row>
    <row r="1275" spans="1:7" s="413" customFormat="1">
      <c r="A1275" s="918" t="s">
        <v>68</v>
      </c>
      <c r="B1275" s="919" t="s">
        <v>298</v>
      </c>
      <c r="C1275" s="920"/>
      <c r="D1275" s="920"/>
      <c r="E1275" s="921"/>
      <c r="F1275" s="922"/>
      <c r="G1275" s="922"/>
    </row>
    <row r="1276" spans="1:7" s="413" customFormat="1">
      <c r="A1276" s="918"/>
      <c r="B1276" s="923" t="s">
        <v>69</v>
      </c>
      <c r="C1276" s="924" t="s">
        <v>70</v>
      </c>
      <c r="D1276" s="924" t="s">
        <v>71</v>
      </c>
      <c r="E1276" s="1155">
        <v>0.28570000000000001</v>
      </c>
      <c r="F1276" s="926">
        <f>Upah!$F$26</f>
        <v>130000</v>
      </c>
      <c r="G1276" s="926">
        <f>+F1276*E1276</f>
        <v>37141</v>
      </c>
    </row>
    <row r="1277" spans="1:7" s="413" customFormat="1">
      <c r="A1277" s="918"/>
      <c r="B1277" s="1164" t="s">
        <v>57</v>
      </c>
      <c r="C1277" s="993" t="s">
        <v>72</v>
      </c>
      <c r="D1277" s="993" t="s">
        <v>71</v>
      </c>
      <c r="E1277" s="1155">
        <v>0.1429</v>
      </c>
      <c r="F1277" s="995">
        <f>Upah!$F$18</f>
        <v>140000</v>
      </c>
      <c r="G1277" s="926">
        <f t="shared" ref="G1277:G1278" si="124">+F1277*E1277</f>
        <v>20006</v>
      </c>
    </row>
    <row r="1278" spans="1:7" s="413" customFormat="1">
      <c r="A1278" s="918"/>
      <c r="B1278" s="923" t="s">
        <v>73</v>
      </c>
      <c r="C1278" s="993" t="s">
        <v>74</v>
      </c>
      <c r="D1278" s="993" t="s">
        <v>71</v>
      </c>
      <c r="E1278" s="1155">
        <v>1.43E-2</v>
      </c>
      <c r="F1278" s="995">
        <f>Upah!$F$10</f>
        <v>150000</v>
      </c>
      <c r="G1278" s="926">
        <f t="shared" si="124"/>
        <v>2145</v>
      </c>
    </row>
    <row r="1279" spans="1:7" s="413" customFormat="1">
      <c r="A1279" s="918"/>
      <c r="B1279" s="923" t="s">
        <v>50</v>
      </c>
      <c r="C1279" s="927" t="s">
        <v>75</v>
      </c>
      <c r="D1279" s="927" t="s">
        <v>71</v>
      </c>
      <c r="E1279" s="1156">
        <v>4.7999999999999996E-3</v>
      </c>
      <c r="F1279" s="929">
        <f>Upah!$F$8</f>
        <v>170000</v>
      </c>
      <c r="G1279" s="929">
        <f>+F1279*E1279</f>
        <v>815.99999999999989</v>
      </c>
    </row>
    <row r="1280" spans="1:7" s="413" customFormat="1">
      <c r="A1280" s="918"/>
      <c r="B1280" s="930"/>
      <c r="C1280" s="931" t="s">
        <v>632</v>
      </c>
      <c r="D1280" s="932"/>
      <c r="E1280" s="933"/>
      <c r="F1280" s="934"/>
      <c r="G1280" s="935">
        <f>SUM(G1276:G1279)</f>
        <v>60108</v>
      </c>
    </row>
    <row r="1281" spans="1:7" s="413" customFormat="1">
      <c r="A1281" s="918" t="s">
        <v>77</v>
      </c>
      <c r="B1281" s="945" t="s">
        <v>299</v>
      </c>
      <c r="C1281" s="946"/>
      <c r="D1281" s="946"/>
      <c r="E1281" s="947"/>
      <c r="F1281" s="948"/>
      <c r="G1281" s="948"/>
    </row>
    <row r="1282" spans="1:7" s="413" customFormat="1">
      <c r="A1282" s="1170"/>
      <c r="B1282" s="1167" t="s">
        <v>221</v>
      </c>
      <c r="C1282" s="1168"/>
      <c r="D1282" s="1168" t="s">
        <v>270</v>
      </c>
      <c r="E1282" s="1169">
        <v>1.0800000000000001E-2</v>
      </c>
      <c r="F1282" s="1160">
        <f>F1262</f>
        <v>11500000</v>
      </c>
      <c r="G1282" s="1160">
        <f t="shared" ref="G1282:G1284" si="125">+F1282*E1282</f>
        <v>124200</v>
      </c>
    </row>
    <row r="1283" spans="1:7" s="413" customFormat="1">
      <c r="A1283" s="1352"/>
      <c r="B1283" s="1353" t="s">
        <v>495</v>
      </c>
      <c r="C1283" s="1354"/>
      <c r="D1283" s="1354" t="s">
        <v>268</v>
      </c>
      <c r="E1283" s="1355">
        <v>0.12759999999999999</v>
      </c>
      <c r="F1283" s="1160">
        <f>F1263</f>
        <v>20000</v>
      </c>
      <c r="G1283" s="1160">
        <f t="shared" si="125"/>
        <v>2552</v>
      </c>
    </row>
    <row r="1284" spans="1:7" s="413" customFormat="1">
      <c r="A1284" s="1352"/>
      <c r="B1284" s="1353" t="s">
        <v>492</v>
      </c>
      <c r="C1284" s="1354"/>
      <c r="D1284" s="1354" t="s">
        <v>268</v>
      </c>
      <c r="E1284" s="1355">
        <v>1</v>
      </c>
      <c r="F1284" s="1160">
        <f>Bahan!$E$200</f>
        <v>47500</v>
      </c>
      <c r="G1284" s="1160">
        <f t="shared" si="125"/>
        <v>47500</v>
      </c>
    </row>
    <row r="1285" spans="1:7" s="413" customFormat="1">
      <c r="A1285" s="918"/>
      <c r="B1285" s="930"/>
      <c r="C1285" s="940" t="s">
        <v>642</v>
      </c>
      <c r="D1285" s="941"/>
      <c r="E1285" s="942"/>
      <c r="F1285" s="943"/>
      <c r="G1285" s="944">
        <f>SUM(G1282:G1284)</f>
        <v>174252</v>
      </c>
    </row>
    <row r="1286" spans="1:7" s="413" customFormat="1">
      <c r="A1286" s="918" t="s">
        <v>80</v>
      </c>
      <c r="B1286" s="919" t="s">
        <v>250</v>
      </c>
      <c r="C1286" s="937"/>
      <c r="D1286" s="946"/>
      <c r="E1286" s="947"/>
      <c r="F1286" s="948"/>
      <c r="G1286" s="926">
        <v>0</v>
      </c>
    </row>
    <row r="1287" spans="1:7" s="413" customFormat="1">
      <c r="A1287" s="960"/>
      <c r="B1287" s="961"/>
      <c r="C1287" s="962" t="s">
        <v>287</v>
      </c>
      <c r="D1287" s="941"/>
      <c r="E1287" s="942"/>
      <c r="F1287" s="943"/>
      <c r="G1287" s="944">
        <v>0</v>
      </c>
    </row>
    <row r="1288" spans="1:7" s="413" customFormat="1">
      <c r="A1288" s="963" t="s">
        <v>83</v>
      </c>
      <c r="B1288" s="964" t="s">
        <v>292</v>
      </c>
      <c r="C1288" s="965"/>
      <c r="D1288" s="915"/>
      <c r="E1288" s="966"/>
      <c r="F1288" s="967"/>
      <c r="G1288" s="968">
        <f>+G1287+G1285+G1280</f>
        <v>234360</v>
      </c>
    </row>
    <row r="1289" spans="1:7" s="413" customFormat="1">
      <c r="A1289" s="963" t="s">
        <v>84</v>
      </c>
      <c r="B1289" s="969" t="s">
        <v>293</v>
      </c>
      <c r="C1289" s="912"/>
      <c r="D1289" s="915"/>
      <c r="E1289" s="970">
        <f>$I$2</f>
        <v>0.1</v>
      </c>
      <c r="F1289" s="967"/>
      <c r="G1289" s="968">
        <f>+G1288*E1289</f>
        <v>23436</v>
      </c>
    </row>
    <row r="1290" spans="1:7" s="413" customFormat="1" ht="15" thickBot="1">
      <c r="A1290" s="971" t="s">
        <v>85</v>
      </c>
      <c r="B1290" s="972" t="s">
        <v>86</v>
      </c>
      <c r="C1290" s="973"/>
      <c r="D1290" s="973"/>
      <c r="E1290" s="974"/>
      <c r="F1290" s="975"/>
      <c r="G1290" s="976">
        <f>+G1289+G1288</f>
        <v>257796</v>
      </c>
    </row>
    <row r="1291" spans="1:7" ht="15" thickTop="1">
      <c r="A1291" s="980"/>
      <c r="B1291" s="980"/>
      <c r="C1291" s="980"/>
      <c r="D1291" s="980"/>
      <c r="E1291" s="1356"/>
      <c r="F1291" s="980"/>
      <c r="G1291" s="1357"/>
    </row>
    <row r="1292" spans="1:7" s="111" customFormat="1">
      <c r="A1292" s="980"/>
      <c r="B1292" s="980"/>
      <c r="C1292" s="980"/>
      <c r="D1292" s="980"/>
      <c r="E1292" s="1356"/>
      <c r="F1292" s="980"/>
      <c r="G1292" s="1357"/>
    </row>
    <row r="1293" spans="1:7" s="111" customFormat="1">
      <c r="A1293" s="980"/>
      <c r="B1293" s="980"/>
      <c r="C1293" s="980"/>
      <c r="D1293" s="980"/>
      <c r="E1293" s="1356"/>
      <c r="F1293" s="980"/>
      <c r="G1293" s="1357"/>
    </row>
    <row r="1294" spans="1:7" s="111" customFormat="1">
      <c r="A1294" s="980"/>
      <c r="B1294" s="980"/>
      <c r="C1294" s="980"/>
      <c r="D1294" s="980"/>
      <c r="E1294" s="1356"/>
      <c r="F1294" s="980"/>
      <c r="G1294" s="1357"/>
    </row>
    <row r="1295" spans="1:7" s="111" customFormat="1">
      <c r="A1295" s="980"/>
      <c r="B1295" s="980"/>
      <c r="C1295" s="980"/>
      <c r="D1295" s="980"/>
      <c r="E1295" s="1356"/>
      <c r="F1295" s="980"/>
      <c r="G1295" s="1357"/>
    </row>
    <row r="1296" spans="1:7" s="111" customFormat="1">
      <c r="A1296" s="980"/>
      <c r="B1296" s="980"/>
      <c r="C1296" s="980"/>
      <c r="D1296" s="980"/>
      <c r="E1296" s="1356"/>
      <c r="F1296" s="980"/>
      <c r="G1296" s="1357"/>
    </row>
    <row r="1297" spans="1:16" s="111" customFormat="1">
      <c r="A1297" s="980"/>
      <c r="B1297" s="980"/>
      <c r="C1297" s="980"/>
      <c r="D1297" s="980"/>
      <c r="E1297" s="1356"/>
      <c r="F1297" s="980"/>
      <c r="G1297" s="1357"/>
    </row>
    <row r="1298" spans="1:16" s="111" customFormat="1">
      <c r="A1298" s="980"/>
      <c r="B1298" s="980"/>
      <c r="C1298" s="980"/>
      <c r="D1298" s="980"/>
      <c r="E1298" s="1356"/>
      <c r="F1298" s="980"/>
      <c r="G1298" s="1357"/>
    </row>
    <row r="1299" spans="1:16" s="111" customFormat="1">
      <c r="A1299" s="980"/>
      <c r="B1299" s="980"/>
      <c r="C1299" s="980"/>
      <c r="D1299" s="980"/>
      <c r="E1299" s="1356"/>
      <c r="F1299" s="980"/>
      <c r="G1299" s="1357"/>
    </row>
    <row r="1300" spans="1:16" s="111" customFormat="1">
      <c r="A1300" s="980"/>
      <c r="B1300" s="980"/>
      <c r="C1300" s="980"/>
      <c r="D1300" s="980"/>
      <c r="E1300" s="1356"/>
      <c r="F1300" s="980"/>
      <c r="G1300" s="1357"/>
    </row>
    <row r="1301" spans="1:16" s="111" customFormat="1">
      <c r="A1301" s="980"/>
      <c r="B1301" s="980"/>
      <c r="C1301" s="980"/>
      <c r="D1301" s="980"/>
      <c r="E1301" s="1356"/>
      <c r="F1301" s="980"/>
      <c r="G1301" s="1357"/>
    </row>
    <row r="1302" spans="1:16" s="111" customFormat="1">
      <c r="A1302" s="980"/>
      <c r="B1302" s="980"/>
      <c r="C1302" s="980"/>
      <c r="D1302" s="980"/>
      <c r="E1302" s="1356"/>
      <c r="F1302" s="980"/>
      <c r="G1302" s="1357"/>
    </row>
    <row r="1303" spans="1:16" s="111" customFormat="1">
      <c r="A1303" s="980"/>
      <c r="B1303" s="980"/>
      <c r="C1303" s="980"/>
      <c r="D1303" s="980"/>
      <c r="E1303" s="1356"/>
      <c r="F1303" s="980"/>
      <c r="G1303" s="1357"/>
    </row>
    <row r="1304" spans="1:16" s="93" customFormat="1" ht="15.75" customHeight="1">
      <c r="A1304" s="1849" t="s">
        <v>595</v>
      </c>
      <c r="B1304" s="1849"/>
      <c r="C1304" s="1849"/>
      <c r="D1304" s="1849"/>
      <c r="E1304" s="1849"/>
      <c r="F1304" s="1849"/>
      <c r="G1304" s="1849"/>
    </row>
    <row r="1305" spans="1:16" s="45" customFormat="1" ht="14.25" customHeight="1" thickBot="1">
      <c r="A1305" s="1850" t="s">
        <v>596</v>
      </c>
      <c r="B1305" s="1850"/>
      <c r="C1305" s="1850"/>
      <c r="D1305" s="1850"/>
      <c r="E1305" s="1850"/>
      <c r="F1305" s="1850"/>
      <c r="G1305" s="1850"/>
    </row>
    <row r="1306" spans="1:16" s="45" customFormat="1" ht="12.75" customHeight="1" thickTop="1" thickBot="1">
      <c r="A1306" s="1797" t="s">
        <v>275</v>
      </c>
      <c r="B1306" s="1799" t="s">
        <v>295</v>
      </c>
      <c r="C1306" s="1799" t="s">
        <v>276</v>
      </c>
      <c r="D1306" s="1799" t="s">
        <v>277</v>
      </c>
      <c r="E1306" s="1801" t="s">
        <v>278</v>
      </c>
      <c r="F1306" s="916" t="s">
        <v>279</v>
      </c>
      <c r="G1306" s="916" t="s">
        <v>280</v>
      </c>
      <c r="J1306" s="1818" t="s">
        <v>596</v>
      </c>
      <c r="K1306" s="1818"/>
      <c r="L1306" s="1818"/>
      <c r="M1306" s="1818"/>
      <c r="N1306" s="1818"/>
      <c r="O1306" s="1818"/>
      <c r="P1306" s="1818"/>
    </row>
    <row r="1307" spans="1:16" s="98" customFormat="1" ht="12.75" customHeight="1" thickTop="1">
      <c r="A1307" s="1798"/>
      <c r="B1307" s="1800"/>
      <c r="C1307" s="1800"/>
      <c r="D1307" s="1800"/>
      <c r="E1307" s="1802"/>
      <c r="F1307" s="917" t="s">
        <v>67</v>
      </c>
      <c r="G1307" s="917" t="s">
        <v>67</v>
      </c>
    </row>
    <row r="1308" spans="1:16" s="45" customFormat="1" ht="12.75" customHeight="1">
      <c r="A1308" s="1358" t="s">
        <v>262</v>
      </c>
      <c r="B1308" s="1359" t="s">
        <v>267</v>
      </c>
      <c r="C1308" s="1358"/>
      <c r="D1308" s="1358"/>
      <c r="E1308" s="1360"/>
      <c r="F1308" s="1361"/>
      <c r="G1308" s="1361"/>
    </row>
    <row r="1309" spans="1:16" s="45" customFormat="1" ht="12.75" customHeight="1">
      <c r="A1309" s="1362">
        <v>1</v>
      </c>
      <c r="B1309" s="1223" t="s">
        <v>69</v>
      </c>
      <c r="C1309" s="1363" t="s">
        <v>70</v>
      </c>
      <c r="D1309" s="1363" t="s">
        <v>71</v>
      </c>
      <c r="E1309" s="1364">
        <v>4.2999999999999997E-2</v>
      </c>
      <c r="F1309" s="1295">
        <f>F1276</f>
        <v>130000</v>
      </c>
      <c r="G1309" s="1295">
        <f>E1309*F1309</f>
        <v>5590</v>
      </c>
    </row>
    <row r="1310" spans="1:16" s="45" customFormat="1" ht="12.75" customHeight="1">
      <c r="A1310" s="1362">
        <v>2</v>
      </c>
      <c r="B1310" s="1223" t="s">
        <v>52</v>
      </c>
      <c r="C1310" s="1363" t="s">
        <v>72</v>
      </c>
      <c r="D1310" s="1363" t="s">
        <v>71</v>
      </c>
      <c r="E1310" s="1364">
        <v>4.2999999999999997E-2</v>
      </c>
      <c r="F1310" s="1295">
        <f>Upah!F15</f>
        <v>140000</v>
      </c>
      <c r="G1310" s="1295">
        <f>E1310*F1310</f>
        <v>6019.9999999999991</v>
      </c>
    </row>
    <row r="1311" spans="1:16" s="45" customFormat="1" ht="12.75" customHeight="1">
      <c r="A1311" s="1362">
        <v>3</v>
      </c>
      <c r="B1311" s="1223" t="s">
        <v>73</v>
      </c>
      <c r="C1311" s="1363" t="s">
        <v>74</v>
      </c>
      <c r="D1311" s="1363" t="s">
        <v>71</v>
      </c>
      <c r="E1311" s="1364">
        <v>4.0000000000000001E-3</v>
      </c>
      <c r="F1311" s="1295">
        <f>F1278</f>
        <v>150000</v>
      </c>
      <c r="G1311" s="1295">
        <f>E1311*F1311</f>
        <v>600</v>
      </c>
    </row>
    <row r="1312" spans="1:16" s="45" customFormat="1" ht="12.75" customHeight="1">
      <c r="A1312" s="1362">
        <v>4</v>
      </c>
      <c r="B1312" s="1223" t="s">
        <v>50</v>
      </c>
      <c r="C1312" s="1363" t="s">
        <v>75</v>
      </c>
      <c r="D1312" s="1363" t="s">
        <v>71</v>
      </c>
      <c r="E1312" s="1364">
        <v>1E-3</v>
      </c>
      <c r="F1312" s="1295">
        <f>F1279</f>
        <v>170000</v>
      </c>
      <c r="G1312" s="1295">
        <f>E1312*F1312</f>
        <v>170</v>
      </c>
    </row>
    <row r="1313" spans="1:7" s="45" customFormat="1" ht="12.75" customHeight="1">
      <c r="A1313" s="1197" t="s">
        <v>553</v>
      </c>
      <c r="B1313" s="1198"/>
      <c r="C1313" s="1198"/>
      <c r="D1313" s="1199"/>
      <c r="E1313" s="1365"/>
      <c r="F1313" s="1304"/>
      <c r="G1313" s="1305">
        <f>SUM(G1309:G1312)</f>
        <v>12380</v>
      </c>
    </row>
    <row r="1314" spans="1:7" s="45" customFormat="1" ht="12.75" customHeight="1">
      <c r="A1314" s="1363" t="s">
        <v>263</v>
      </c>
      <c r="B1314" s="1223" t="s">
        <v>78</v>
      </c>
      <c r="C1314" s="1363"/>
      <c r="D1314" s="1363"/>
      <c r="E1314" s="1364"/>
      <c r="F1314" s="1320"/>
      <c r="G1314" s="1320"/>
    </row>
    <row r="1315" spans="1:7" s="45" customFormat="1" ht="12.75" customHeight="1">
      <c r="A1315" s="1362">
        <v>1</v>
      </c>
      <c r="B1315" s="1223" t="s">
        <v>554</v>
      </c>
      <c r="C1315" s="1363"/>
      <c r="D1315" s="1363" t="s">
        <v>274</v>
      </c>
      <c r="E1315" s="1364">
        <v>1.1000000000000001</v>
      </c>
      <c r="F1315" s="1295">
        <f>Bahan!E126</f>
        <v>206000</v>
      </c>
      <c r="G1315" s="1295">
        <f t="shared" ref="G1315:G1317" si="126">E1315*F1315</f>
        <v>226600.00000000003</v>
      </c>
    </row>
    <row r="1316" spans="1:7" s="45" customFormat="1" ht="12.75" customHeight="1">
      <c r="A1316" s="1362">
        <v>2</v>
      </c>
      <c r="B1316" s="1223" t="s">
        <v>555</v>
      </c>
      <c r="C1316" s="1363"/>
      <c r="D1316" s="1363" t="s">
        <v>291</v>
      </c>
      <c r="E1316" s="1364">
        <v>2</v>
      </c>
      <c r="F1316" s="1295">
        <f>Bahan!E136</f>
        <v>600</v>
      </c>
      <c r="G1316" s="1295">
        <f t="shared" si="126"/>
        <v>1200</v>
      </c>
    </row>
    <row r="1317" spans="1:7" s="45" customFormat="1" ht="12.75" customHeight="1">
      <c r="A1317" s="1362">
        <v>3</v>
      </c>
      <c r="B1317" s="1223" t="s">
        <v>556</v>
      </c>
      <c r="C1317" s="1363"/>
      <c r="D1317" s="1363" t="s">
        <v>509</v>
      </c>
      <c r="E1317" s="1364">
        <v>0.06</v>
      </c>
      <c r="F1317" s="1295">
        <f>Bahan!E137</f>
        <v>36000</v>
      </c>
      <c r="G1317" s="1295">
        <f t="shared" si="126"/>
        <v>2160</v>
      </c>
    </row>
    <row r="1318" spans="1:7" s="45" customFormat="1" ht="12.75" customHeight="1">
      <c r="A1318" s="1197" t="s">
        <v>79</v>
      </c>
      <c r="B1318" s="1198"/>
      <c r="C1318" s="1198"/>
      <c r="D1318" s="1199"/>
      <c r="E1318" s="1365"/>
      <c r="F1318" s="1304"/>
      <c r="G1318" s="1305">
        <f>SUM(G1315:G1317)</f>
        <v>229960.00000000003</v>
      </c>
    </row>
    <row r="1319" spans="1:7" s="45" customFormat="1" ht="12.75" customHeight="1">
      <c r="A1319" s="1363" t="s">
        <v>264</v>
      </c>
      <c r="B1319" s="1223" t="s">
        <v>81</v>
      </c>
      <c r="C1319" s="1363"/>
      <c r="D1319" s="1363"/>
      <c r="E1319" s="1364"/>
      <c r="F1319" s="1320"/>
      <c r="G1319" s="1320"/>
    </row>
    <row r="1320" spans="1:7" s="45" customFormat="1" ht="12.75" customHeight="1">
      <c r="A1320" s="1363"/>
      <c r="B1320" s="1223"/>
      <c r="C1320" s="1363"/>
      <c r="D1320" s="1363"/>
      <c r="E1320" s="1364"/>
      <c r="F1320" s="1320"/>
      <c r="G1320" s="1320"/>
    </row>
    <row r="1321" spans="1:7" s="45" customFormat="1" ht="12.75" customHeight="1">
      <c r="A1321" s="1197" t="s">
        <v>82</v>
      </c>
      <c r="B1321" s="1198"/>
      <c r="C1321" s="1198"/>
      <c r="D1321" s="1199"/>
      <c r="E1321" s="1365"/>
      <c r="F1321" s="1304"/>
      <c r="G1321" s="1305">
        <f>SUM(G1320)</f>
        <v>0</v>
      </c>
    </row>
    <row r="1322" spans="1:7" s="45" customFormat="1" ht="12.75" customHeight="1">
      <c r="A1322" s="1208" t="s">
        <v>281</v>
      </c>
      <c r="B1322" s="1209" t="s">
        <v>292</v>
      </c>
      <c r="C1322" s="1209"/>
      <c r="D1322" s="1208"/>
      <c r="E1322" s="1366"/>
      <c r="F1322" s="1324"/>
      <c r="G1322" s="1325">
        <f>G1313+G1318+G1321</f>
        <v>242340.00000000003</v>
      </c>
    </row>
    <row r="1323" spans="1:7" s="45" customFormat="1" ht="12.75" customHeight="1">
      <c r="A1323" s="1213" t="s">
        <v>90</v>
      </c>
      <c r="B1323" s="1214" t="s">
        <v>293</v>
      </c>
      <c r="C1323" s="1215"/>
      <c r="D1323" s="1216"/>
      <c r="E1323" s="970">
        <f>$I$2</f>
        <v>0.1</v>
      </c>
      <c r="F1323" s="967"/>
      <c r="G1323" s="968">
        <f>+G1322*E1323</f>
        <v>24234.000000000004</v>
      </c>
    </row>
    <row r="1324" spans="1:7" s="45" customFormat="1" ht="12.75" customHeight="1">
      <c r="A1324" s="1217" t="s">
        <v>94</v>
      </c>
      <c r="B1324" s="1218" t="s">
        <v>86</v>
      </c>
      <c r="C1324" s="1218"/>
      <c r="D1324" s="1219"/>
      <c r="E1324" s="1367"/>
      <c r="F1324" s="1334"/>
      <c r="G1324" s="1335">
        <f>G1322+G1323</f>
        <v>266574.00000000006</v>
      </c>
    </row>
    <row r="1325" spans="1:7" s="45" customFormat="1" ht="5.25" customHeight="1">
      <c r="A1325" s="10"/>
      <c r="B1325" s="10"/>
      <c r="C1325" s="10"/>
      <c r="D1325" s="10"/>
      <c r="E1325" s="1004"/>
      <c r="F1325" s="10"/>
      <c r="G1325" s="46"/>
    </row>
    <row r="1326" spans="1:7" s="413" customFormat="1" ht="12.75" customHeight="1">
      <c r="A1326" s="10" t="s">
        <v>497</v>
      </c>
      <c r="B1326" s="10"/>
      <c r="C1326" s="10"/>
      <c r="D1326" s="10"/>
      <c r="E1326" s="1004"/>
      <c r="F1326" s="10"/>
      <c r="G1326" s="46"/>
    </row>
    <row r="1327" spans="1:7" s="413" customFormat="1" ht="12.75" customHeight="1" thickBot="1">
      <c r="A1327" s="10" t="s">
        <v>498</v>
      </c>
      <c r="B1327" s="10"/>
      <c r="C1327" s="10"/>
      <c r="D1327" s="10"/>
      <c r="E1327" s="1004"/>
      <c r="F1327" s="10"/>
      <c r="G1327" s="46"/>
    </row>
    <row r="1328" spans="1:7" s="413" customFormat="1" ht="12.75" customHeight="1" thickTop="1">
      <c r="A1328" s="1797" t="s">
        <v>275</v>
      </c>
      <c r="B1328" s="1799" t="s">
        <v>295</v>
      </c>
      <c r="C1328" s="1799" t="s">
        <v>276</v>
      </c>
      <c r="D1328" s="1799" t="s">
        <v>277</v>
      </c>
      <c r="E1328" s="1801" t="s">
        <v>278</v>
      </c>
      <c r="F1328" s="916" t="s">
        <v>279</v>
      </c>
      <c r="G1328" s="916" t="s">
        <v>280</v>
      </c>
    </row>
    <row r="1329" spans="1:7" s="413" customFormat="1" ht="12.75" customHeight="1">
      <c r="A1329" s="1798"/>
      <c r="B1329" s="1800"/>
      <c r="C1329" s="1800"/>
      <c r="D1329" s="1800"/>
      <c r="E1329" s="1802"/>
      <c r="F1329" s="917" t="s">
        <v>67</v>
      </c>
      <c r="G1329" s="917" t="s">
        <v>67</v>
      </c>
    </row>
    <row r="1330" spans="1:7" s="413" customFormat="1" ht="12.75" customHeight="1">
      <c r="A1330" s="918" t="s">
        <v>68</v>
      </c>
      <c r="B1330" s="919" t="s">
        <v>298</v>
      </c>
      <c r="C1330" s="920"/>
      <c r="D1330" s="920"/>
      <c r="E1330" s="921"/>
      <c r="F1330" s="922"/>
      <c r="G1330" s="922"/>
    </row>
    <row r="1331" spans="1:7" s="413" customFormat="1" ht="12.75" customHeight="1">
      <c r="A1331" s="918"/>
      <c r="B1331" s="923" t="s">
        <v>69</v>
      </c>
      <c r="C1331" s="924" t="s">
        <v>70</v>
      </c>
      <c r="D1331" s="924" t="s">
        <v>71</v>
      </c>
      <c r="E1331" s="1155">
        <v>0.01</v>
      </c>
      <c r="F1331" s="926">
        <f>Upah!$F$26</f>
        <v>130000</v>
      </c>
      <c r="G1331" s="926">
        <f>+F1331*E1331</f>
        <v>1300</v>
      </c>
    </row>
    <row r="1332" spans="1:7" s="413" customFormat="1" ht="12.75" customHeight="1">
      <c r="A1332" s="918"/>
      <c r="B1332" s="1164" t="s">
        <v>57</v>
      </c>
      <c r="C1332" s="993" t="s">
        <v>72</v>
      </c>
      <c r="D1332" s="993" t="s">
        <v>71</v>
      </c>
      <c r="E1332" s="1155">
        <v>0.5</v>
      </c>
      <c r="F1332" s="995">
        <f>Upah!$F$18</f>
        <v>140000</v>
      </c>
      <c r="G1332" s="926">
        <f t="shared" ref="G1332:G1333" si="127">+F1332*E1332</f>
        <v>70000</v>
      </c>
    </row>
    <row r="1333" spans="1:7" s="413" customFormat="1" ht="12.75" customHeight="1">
      <c r="A1333" s="918"/>
      <c r="B1333" s="923" t="s">
        <v>73</v>
      </c>
      <c r="C1333" s="993" t="s">
        <v>74</v>
      </c>
      <c r="D1333" s="993" t="s">
        <v>71</v>
      </c>
      <c r="E1333" s="1155">
        <v>0.05</v>
      </c>
      <c r="F1333" s="995">
        <f>Upah!$F$10</f>
        <v>150000</v>
      </c>
      <c r="G1333" s="926">
        <f t="shared" si="127"/>
        <v>7500</v>
      </c>
    </row>
    <row r="1334" spans="1:7" s="413" customFormat="1" ht="12.75" customHeight="1">
      <c r="A1334" s="918"/>
      <c r="B1334" s="923" t="s">
        <v>50</v>
      </c>
      <c r="C1334" s="927" t="s">
        <v>75</v>
      </c>
      <c r="D1334" s="927" t="s">
        <v>71</v>
      </c>
      <c r="E1334" s="1156">
        <v>1.7000000000000001E-2</v>
      </c>
      <c r="F1334" s="929">
        <f>Upah!$F$8</f>
        <v>170000</v>
      </c>
      <c r="G1334" s="929">
        <f>+F1334*E1334</f>
        <v>2890</v>
      </c>
    </row>
    <row r="1335" spans="1:7" s="413" customFormat="1" ht="12.75" customHeight="1">
      <c r="A1335" s="918"/>
      <c r="B1335" s="930"/>
      <c r="C1335" s="931" t="s">
        <v>632</v>
      </c>
      <c r="D1335" s="932"/>
      <c r="E1335" s="933"/>
      <c r="F1335" s="934"/>
      <c r="G1335" s="935">
        <f>SUM(G1331:G1334)</f>
        <v>81690</v>
      </c>
    </row>
    <row r="1336" spans="1:7" s="413" customFormat="1" ht="12.75" customHeight="1">
      <c r="A1336" s="918" t="s">
        <v>77</v>
      </c>
      <c r="B1336" s="945" t="s">
        <v>299</v>
      </c>
      <c r="C1336" s="946"/>
      <c r="D1336" s="946"/>
      <c r="E1336" s="947"/>
      <c r="F1336" s="948"/>
      <c r="G1336" s="948"/>
    </row>
    <row r="1337" spans="1:7" s="413" customFormat="1" ht="12.75" customHeight="1">
      <c r="A1337" s="1170"/>
      <c r="B1337" s="1167" t="s">
        <v>502</v>
      </c>
      <c r="C1337" s="1168"/>
      <c r="D1337" s="1168" t="s">
        <v>291</v>
      </c>
      <c r="E1337" s="1169">
        <v>1</v>
      </c>
      <c r="F1337" s="1160">
        <f>Bahan!E219</f>
        <v>235750</v>
      </c>
      <c r="G1337" s="1160">
        <f t="shared" ref="G1337" si="128">+F1337*E1337</f>
        <v>235750</v>
      </c>
    </row>
    <row r="1338" spans="1:7" s="413" customFormat="1" ht="12.75" customHeight="1">
      <c r="A1338" s="918"/>
      <c r="B1338" s="930"/>
      <c r="C1338" s="940" t="s">
        <v>642</v>
      </c>
      <c r="D1338" s="941"/>
      <c r="E1338" s="942"/>
      <c r="F1338" s="943"/>
      <c r="G1338" s="944">
        <f>SUM(G1337:G1337)</f>
        <v>235750</v>
      </c>
    </row>
    <row r="1339" spans="1:7" s="413" customFormat="1" ht="12.75" customHeight="1">
      <c r="A1339" s="918" t="s">
        <v>80</v>
      </c>
      <c r="B1339" s="919" t="s">
        <v>250</v>
      </c>
      <c r="C1339" s="937"/>
      <c r="D1339" s="946"/>
      <c r="E1339" s="947"/>
      <c r="F1339" s="948"/>
      <c r="G1339" s="926">
        <v>0</v>
      </c>
    </row>
    <row r="1340" spans="1:7" s="413" customFormat="1" ht="12.75" customHeight="1">
      <c r="A1340" s="960"/>
      <c r="B1340" s="961"/>
      <c r="C1340" s="962" t="s">
        <v>287</v>
      </c>
      <c r="D1340" s="941"/>
      <c r="E1340" s="942"/>
      <c r="F1340" s="943"/>
      <c r="G1340" s="944">
        <v>0</v>
      </c>
    </row>
    <row r="1341" spans="1:7" s="413" customFormat="1" ht="12.75" customHeight="1">
      <c r="A1341" s="963" t="s">
        <v>83</v>
      </c>
      <c r="B1341" s="964" t="s">
        <v>292</v>
      </c>
      <c r="C1341" s="965"/>
      <c r="D1341" s="915"/>
      <c r="E1341" s="966"/>
      <c r="F1341" s="967"/>
      <c r="G1341" s="968">
        <f>+G1340+G1338+G1335</f>
        <v>317440</v>
      </c>
    </row>
    <row r="1342" spans="1:7" s="413" customFormat="1" ht="12.75" customHeight="1">
      <c r="A1342" s="963" t="s">
        <v>84</v>
      </c>
      <c r="B1342" s="969" t="s">
        <v>293</v>
      </c>
      <c r="C1342" s="912"/>
      <c r="D1342" s="915"/>
      <c r="E1342" s="970">
        <f>$I$2</f>
        <v>0.1</v>
      </c>
      <c r="F1342" s="967"/>
      <c r="G1342" s="968">
        <f>+G1341*E1342</f>
        <v>31744</v>
      </c>
    </row>
    <row r="1343" spans="1:7" s="413" customFormat="1" ht="12.75" customHeight="1" thickBot="1">
      <c r="A1343" s="971" t="s">
        <v>85</v>
      </c>
      <c r="B1343" s="972" t="s">
        <v>86</v>
      </c>
      <c r="C1343" s="973"/>
      <c r="D1343" s="973"/>
      <c r="E1343" s="974"/>
      <c r="F1343" s="975"/>
      <c r="G1343" s="976">
        <f>+G1342+G1341</f>
        <v>349184</v>
      </c>
    </row>
    <row r="1344" spans="1:7" s="413" customFormat="1" ht="12.75" customHeight="1" thickTop="1">
      <c r="A1344" s="10"/>
      <c r="B1344" s="10"/>
      <c r="C1344" s="10"/>
      <c r="D1344" s="10"/>
      <c r="E1344" s="1004"/>
      <c r="F1344" s="10"/>
      <c r="G1344" s="46"/>
    </row>
    <row r="1345" spans="1:7" s="413" customFormat="1" ht="12.75" customHeight="1" thickBot="1">
      <c r="A1345" s="10" t="s">
        <v>499</v>
      </c>
      <c r="B1345" s="10"/>
      <c r="C1345" s="10"/>
      <c r="D1345" s="10"/>
      <c r="E1345" s="1004"/>
      <c r="F1345" s="10"/>
      <c r="G1345" s="46"/>
    </row>
    <row r="1346" spans="1:7" s="413" customFormat="1" ht="12.75" customHeight="1" thickTop="1">
      <c r="A1346" s="1797" t="s">
        <v>275</v>
      </c>
      <c r="B1346" s="1799" t="s">
        <v>295</v>
      </c>
      <c r="C1346" s="1799" t="s">
        <v>276</v>
      </c>
      <c r="D1346" s="1799" t="s">
        <v>277</v>
      </c>
      <c r="E1346" s="1801" t="s">
        <v>278</v>
      </c>
      <c r="F1346" s="916" t="s">
        <v>279</v>
      </c>
      <c r="G1346" s="916" t="s">
        <v>280</v>
      </c>
    </row>
    <row r="1347" spans="1:7" s="413" customFormat="1" ht="12.75" customHeight="1">
      <c r="A1347" s="1798"/>
      <c r="B1347" s="1800"/>
      <c r="C1347" s="1800"/>
      <c r="D1347" s="1800"/>
      <c r="E1347" s="1802"/>
      <c r="F1347" s="917" t="s">
        <v>67</v>
      </c>
      <c r="G1347" s="917" t="s">
        <v>67</v>
      </c>
    </row>
    <row r="1348" spans="1:7" s="413" customFormat="1" ht="12.75" customHeight="1">
      <c r="A1348" s="918" t="s">
        <v>68</v>
      </c>
      <c r="B1348" s="919" t="s">
        <v>298</v>
      </c>
      <c r="C1348" s="920"/>
      <c r="D1348" s="920"/>
      <c r="E1348" s="921"/>
      <c r="F1348" s="922"/>
      <c r="G1348" s="922"/>
    </row>
    <row r="1349" spans="1:7" s="413" customFormat="1" ht="12.75" customHeight="1">
      <c r="A1349" s="918"/>
      <c r="B1349" s="923" t="s">
        <v>69</v>
      </c>
      <c r="C1349" s="924" t="s">
        <v>70</v>
      </c>
      <c r="D1349" s="924" t="s">
        <v>71</v>
      </c>
      <c r="E1349" s="1155">
        <v>1.4999999999999999E-2</v>
      </c>
      <c r="F1349" s="926">
        <f>Upah!$F$26</f>
        <v>130000</v>
      </c>
      <c r="G1349" s="926">
        <f>+F1349*E1349</f>
        <v>1950</v>
      </c>
    </row>
    <row r="1350" spans="1:7" s="413" customFormat="1" ht="12.75" customHeight="1">
      <c r="A1350" s="918"/>
      <c r="B1350" s="1164" t="s">
        <v>57</v>
      </c>
      <c r="C1350" s="993" t="s">
        <v>72</v>
      </c>
      <c r="D1350" s="993" t="s">
        <v>71</v>
      </c>
      <c r="E1350" s="1155">
        <v>0.15</v>
      </c>
      <c r="F1350" s="995">
        <f>Upah!$F$18</f>
        <v>140000</v>
      </c>
      <c r="G1350" s="926">
        <f t="shared" ref="G1350:G1351" si="129">+F1350*E1350</f>
        <v>21000</v>
      </c>
    </row>
    <row r="1351" spans="1:7" s="413" customFormat="1" ht="12.75" customHeight="1">
      <c r="A1351" s="918"/>
      <c r="B1351" s="923" t="s">
        <v>73</v>
      </c>
      <c r="C1351" s="993" t="s">
        <v>74</v>
      </c>
      <c r="D1351" s="993" t="s">
        <v>71</v>
      </c>
      <c r="E1351" s="1155">
        <v>1.4999999999999999E-2</v>
      </c>
      <c r="F1351" s="995">
        <f>Upah!$F$10</f>
        <v>150000</v>
      </c>
      <c r="G1351" s="926">
        <f t="shared" si="129"/>
        <v>2250</v>
      </c>
    </row>
    <row r="1352" spans="1:7" s="413" customFormat="1" ht="12.75" customHeight="1">
      <c r="A1352" s="918"/>
      <c r="B1352" s="923" t="s">
        <v>50</v>
      </c>
      <c r="C1352" s="927" t="s">
        <v>75</v>
      </c>
      <c r="D1352" s="927" t="s">
        <v>71</v>
      </c>
      <c r="E1352" s="1156">
        <v>5.0000000000000001E-3</v>
      </c>
      <c r="F1352" s="929">
        <f>Upah!$F$8</f>
        <v>170000</v>
      </c>
      <c r="G1352" s="929">
        <f>+F1352*E1352</f>
        <v>850</v>
      </c>
    </row>
    <row r="1353" spans="1:7" s="413" customFormat="1" ht="12.75" customHeight="1">
      <c r="A1353" s="918"/>
      <c r="B1353" s="930"/>
      <c r="C1353" s="931" t="s">
        <v>632</v>
      </c>
      <c r="D1353" s="932"/>
      <c r="E1353" s="933"/>
      <c r="F1353" s="934"/>
      <c r="G1353" s="935">
        <f>SUM(G1349:G1352)</f>
        <v>26050</v>
      </c>
    </row>
    <row r="1354" spans="1:7" s="413" customFormat="1" ht="12.75" customHeight="1">
      <c r="A1354" s="918" t="s">
        <v>77</v>
      </c>
      <c r="B1354" s="945" t="s">
        <v>299</v>
      </c>
      <c r="C1354" s="946"/>
      <c r="D1354" s="946"/>
      <c r="E1354" s="947"/>
      <c r="F1354" s="948"/>
      <c r="G1354" s="948"/>
    </row>
    <row r="1355" spans="1:7" s="413" customFormat="1" ht="12.75" customHeight="1">
      <c r="A1355" s="1170"/>
      <c r="B1355" s="1359" t="s">
        <v>503</v>
      </c>
      <c r="C1355" s="1168"/>
      <c r="D1355" s="1168" t="s">
        <v>291</v>
      </c>
      <c r="E1355" s="1169">
        <v>1</v>
      </c>
      <c r="F1355" s="1160">
        <f>Bahan!E212</f>
        <v>70000</v>
      </c>
      <c r="G1355" s="1160">
        <f t="shared" ref="G1355" si="130">+F1355*E1355</f>
        <v>70000</v>
      </c>
    </row>
    <row r="1356" spans="1:7" s="413" customFormat="1" ht="12.75" customHeight="1">
      <c r="A1356" s="918"/>
      <c r="B1356" s="930"/>
      <c r="C1356" s="940" t="s">
        <v>642</v>
      </c>
      <c r="D1356" s="941"/>
      <c r="E1356" s="942"/>
      <c r="F1356" s="943"/>
      <c r="G1356" s="944">
        <f>SUM(G1355:G1355)</f>
        <v>70000</v>
      </c>
    </row>
    <row r="1357" spans="1:7" s="413" customFormat="1" ht="12.75" customHeight="1">
      <c r="A1357" s="918" t="s">
        <v>80</v>
      </c>
      <c r="B1357" s="919" t="s">
        <v>250</v>
      </c>
      <c r="C1357" s="937"/>
      <c r="D1357" s="946"/>
      <c r="E1357" s="947"/>
      <c r="F1357" s="948"/>
      <c r="G1357" s="926">
        <v>0</v>
      </c>
    </row>
    <row r="1358" spans="1:7" s="413" customFormat="1" ht="12.75" customHeight="1">
      <c r="A1358" s="960"/>
      <c r="B1358" s="961"/>
      <c r="C1358" s="962" t="s">
        <v>287</v>
      </c>
      <c r="D1358" s="941"/>
      <c r="E1358" s="942"/>
      <c r="F1358" s="943"/>
      <c r="G1358" s="944">
        <v>0</v>
      </c>
    </row>
    <row r="1359" spans="1:7" s="413" customFormat="1" ht="12.75" customHeight="1">
      <c r="A1359" s="963" t="s">
        <v>83</v>
      </c>
      <c r="B1359" s="964" t="s">
        <v>292</v>
      </c>
      <c r="C1359" s="965"/>
      <c r="D1359" s="915"/>
      <c r="E1359" s="966"/>
      <c r="F1359" s="967"/>
      <c r="G1359" s="968">
        <f>+G1358+G1356+G1353</f>
        <v>96050</v>
      </c>
    </row>
    <row r="1360" spans="1:7" s="413" customFormat="1" ht="12.75" customHeight="1">
      <c r="A1360" s="963" t="s">
        <v>84</v>
      </c>
      <c r="B1360" s="969" t="s">
        <v>293</v>
      </c>
      <c r="C1360" s="912"/>
      <c r="D1360" s="915"/>
      <c r="E1360" s="970">
        <f>$I$2</f>
        <v>0.1</v>
      </c>
      <c r="F1360" s="967"/>
      <c r="G1360" s="968">
        <f>+G1359*E1360</f>
        <v>9605</v>
      </c>
    </row>
    <row r="1361" spans="1:7" s="413" customFormat="1" ht="12.75" customHeight="1" thickBot="1">
      <c r="A1361" s="971" t="s">
        <v>85</v>
      </c>
      <c r="B1361" s="972" t="s">
        <v>86</v>
      </c>
      <c r="C1361" s="973"/>
      <c r="D1361" s="973"/>
      <c r="E1361" s="974"/>
      <c r="F1361" s="975"/>
      <c r="G1361" s="976">
        <f>+G1360+G1359</f>
        <v>105655</v>
      </c>
    </row>
    <row r="1362" spans="1:7" s="413" customFormat="1" ht="12.75" customHeight="1" thickTop="1">
      <c r="A1362" s="10"/>
      <c r="B1362" s="10"/>
      <c r="C1362" s="10"/>
      <c r="D1362" s="10"/>
      <c r="E1362" s="1004"/>
      <c r="F1362" s="10"/>
      <c r="G1362" s="46"/>
    </row>
    <row r="1363" spans="1:7" s="413" customFormat="1" ht="12.75" customHeight="1" thickBot="1">
      <c r="A1363" s="1179" t="s">
        <v>678</v>
      </c>
      <c r="B1363" s="1180"/>
      <c r="C1363" s="1180"/>
      <c r="D1363" s="1181"/>
      <c r="E1363" s="1182"/>
      <c r="F1363" s="1180"/>
      <c r="G1363" s="1180"/>
    </row>
    <row r="1364" spans="1:7" s="413" customFormat="1" ht="12.75" customHeight="1" thickTop="1">
      <c r="A1364" s="1797" t="s">
        <v>275</v>
      </c>
      <c r="B1364" s="1799" t="s">
        <v>295</v>
      </c>
      <c r="C1364" s="1799" t="s">
        <v>276</v>
      </c>
      <c r="D1364" s="1799" t="s">
        <v>277</v>
      </c>
      <c r="E1364" s="1801" t="s">
        <v>278</v>
      </c>
      <c r="F1364" s="916" t="s">
        <v>279</v>
      </c>
      <c r="G1364" s="916" t="s">
        <v>280</v>
      </c>
    </row>
    <row r="1365" spans="1:7" s="413" customFormat="1" ht="12.75" customHeight="1">
      <c r="A1365" s="1798"/>
      <c r="B1365" s="1800"/>
      <c r="C1365" s="1800"/>
      <c r="D1365" s="1800"/>
      <c r="E1365" s="1802"/>
      <c r="F1365" s="917" t="s">
        <v>67</v>
      </c>
      <c r="G1365" s="917" t="s">
        <v>67</v>
      </c>
    </row>
    <row r="1366" spans="1:7" s="413" customFormat="1" ht="12.75" customHeight="1">
      <c r="A1366" s="1363" t="s">
        <v>262</v>
      </c>
      <c r="B1366" s="1223" t="s">
        <v>267</v>
      </c>
      <c r="C1366" s="1363"/>
      <c r="D1366" s="1363"/>
      <c r="E1366" s="1319"/>
      <c r="F1366" s="1368"/>
      <c r="G1366" s="1368"/>
    </row>
    <row r="1367" spans="1:7" s="413" customFormat="1" ht="12.75" customHeight="1">
      <c r="A1367" s="1362">
        <v>1</v>
      </c>
      <c r="B1367" s="1223" t="s">
        <v>69</v>
      </c>
      <c r="C1367" s="1363" t="s">
        <v>70</v>
      </c>
      <c r="D1367" s="1363" t="s">
        <v>71</v>
      </c>
      <c r="E1367" s="1319">
        <v>0.2</v>
      </c>
      <c r="F1367" s="1191">
        <f>F1349</f>
        <v>130000</v>
      </c>
      <c r="G1367" s="1191">
        <f>E1367*F1367</f>
        <v>26000</v>
      </c>
    </row>
    <row r="1368" spans="1:7" s="413" customFormat="1" ht="12.75" customHeight="1">
      <c r="A1368" s="1362">
        <v>2</v>
      </c>
      <c r="B1368" s="1223" t="s">
        <v>57</v>
      </c>
      <c r="C1368" s="1363" t="s">
        <v>72</v>
      </c>
      <c r="D1368" s="1363" t="s">
        <v>71</v>
      </c>
      <c r="E1368" s="1319">
        <v>0.4</v>
      </c>
      <c r="F1368" s="1191">
        <f t="shared" ref="F1368:F1370" si="131">F1350</f>
        <v>140000</v>
      </c>
      <c r="G1368" s="1191">
        <f>E1368*F1368</f>
        <v>56000</v>
      </c>
    </row>
    <row r="1369" spans="1:7" s="413" customFormat="1" ht="12.75" customHeight="1">
      <c r="A1369" s="1362">
        <v>3</v>
      </c>
      <c r="B1369" s="1223" t="s">
        <v>73</v>
      </c>
      <c r="C1369" s="1363" t="s">
        <v>74</v>
      </c>
      <c r="D1369" s="1363" t="s">
        <v>71</v>
      </c>
      <c r="E1369" s="1319">
        <v>0.04</v>
      </c>
      <c r="F1369" s="1191">
        <f t="shared" si="131"/>
        <v>150000</v>
      </c>
      <c r="G1369" s="1191">
        <f>E1369*F1369</f>
        <v>6000</v>
      </c>
    </row>
    <row r="1370" spans="1:7" s="413" customFormat="1" ht="12.75" customHeight="1">
      <c r="A1370" s="1362">
        <v>4</v>
      </c>
      <c r="B1370" s="1223" t="s">
        <v>50</v>
      </c>
      <c r="C1370" s="1363" t="s">
        <v>75</v>
      </c>
      <c r="D1370" s="1363" t="s">
        <v>71</v>
      </c>
      <c r="E1370" s="1319">
        <v>1.3299999999999999E-2</v>
      </c>
      <c r="F1370" s="1191">
        <f t="shared" si="131"/>
        <v>170000</v>
      </c>
      <c r="G1370" s="1191">
        <f>E1370*F1370</f>
        <v>2261</v>
      </c>
    </row>
    <row r="1371" spans="1:7" s="413" customFormat="1" ht="12.75" customHeight="1">
      <c r="A1371" s="1197" t="s">
        <v>553</v>
      </c>
      <c r="B1371" s="1198"/>
      <c r="C1371" s="1198"/>
      <c r="D1371" s="1199"/>
      <c r="E1371" s="1200"/>
      <c r="F1371" s="1201"/>
      <c r="G1371" s="1202">
        <f>SUM(G1367:G1370)</f>
        <v>90261</v>
      </c>
    </row>
    <row r="1372" spans="1:7" s="413" customFormat="1" ht="12.75" customHeight="1">
      <c r="A1372" s="1363" t="s">
        <v>263</v>
      </c>
      <c r="B1372" s="1223" t="s">
        <v>78</v>
      </c>
      <c r="C1372" s="1363"/>
      <c r="D1372" s="1363"/>
      <c r="E1372" s="1319"/>
      <c r="F1372" s="1368"/>
      <c r="G1372" s="1368"/>
    </row>
    <row r="1373" spans="1:7" s="413" customFormat="1" ht="12.75" customHeight="1">
      <c r="A1373" s="1362">
        <v>1</v>
      </c>
      <c r="B1373" s="1223" t="s">
        <v>679</v>
      </c>
      <c r="C1373" s="1363"/>
      <c r="D1373" s="1363" t="s">
        <v>291</v>
      </c>
      <c r="E1373" s="1319">
        <v>1</v>
      </c>
      <c r="F1373" s="1191">
        <f>Bahan!E223</f>
        <v>625000</v>
      </c>
      <c r="G1373" s="1191">
        <f t="shared" ref="G1373" si="132">E1373*F1373</f>
        <v>625000</v>
      </c>
    </row>
    <row r="1374" spans="1:7" s="413" customFormat="1" ht="12.75" customHeight="1">
      <c r="A1374" s="1197" t="s">
        <v>79</v>
      </c>
      <c r="B1374" s="1198"/>
      <c r="C1374" s="1198"/>
      <c r="D1374" s="1199"/>
      <c r="E1374" s="1200"/>
      <c r="F1374" s="1201"/>
      <c r="G1374" s="1202">
        <f>SUM(G1373)</f>
        <v>625000</v>
      </c>
    </row>
    <row r="1375" spans="1:7" s="413" customFormat="1" ht="12.75" customHeight="1">
      <c r="A1375" s="1363" t="s">
        <v>264</v>
      </c>
      <c r="B1375" s="1223" t="s">
        <v>81</v>
      </c>
      <c r="C1375" s="1363"/>
      <c r="D1375" s="1363"/>
      <c r="E1375" s="1319"/>
      <c r="F1375" s="1368"/>
      <c r="G1375" s="1368"/>
    </row>
    <row r="1376" spans="1:7" s="413" customFormat="1" ht="12.75" customHeight="1">
      <c r="A1376" s="1363"/>
      <c r="B1376" s="1223"/>
      <c r="C1376" s="1363"/>
      <c r="D1376" s="1363"/>
      <c r="E1376" s="1319"/>
      <c r="F1376" s="1368"/>
      <c r="G1376" s="1368"/>
    </row>
    <row r="1377" spans="1:7" s="413" customFormat="1" ht="12.75" customHeight="1">
      <c r="A1377" s="1197" t="s">
        <v>82</v>
      </c>
      <c r="B1377" s="1198"/>
      <c r="C1377" s="1198"/>
      <c r="D1377" s="1199"/>
      <c r="E1377" s="1200"/>
      <c r="F1377" s="1201"/>
      <c r="G1377" s="1202">
        <f>SUM(G1376)</f>
        <v>0</v>
      </c>
    </row>
    <row r="1378" spans="1:7" s="413" customFormat="1" ht="12.75" customHeight="1">
      <c r="A1378" s="1208" t="s">
        <v>281</v>
      </c>
      <c r="B1378" s="1209" t="s">
        <v>292</v>
      </c>
      <c r="C1378" s="1209"/>
      <c r="D1378" s="1208"/>
      <c r="E1378" s="1210"/>
      <c r="F1378" s="1211"/>
      <c r="G1378" s="1212">
        <f>G1371+G1374+G1377</f>
        <v>715261</v>
      </c>
    </row>
    <row r="1379" spans="1:7" s="413" customFormat="1" ht="12.75" customHeight="1">
      <c r="A1379" s="1213" t="s">
        <v>90</v>
      </c>
      <c r="B1379" s="1214" t="s">
        <v>293</v>
      </c>
      <c r="C1379" s="1215"/>
      <c r="D1379" s="1216"/>
      <c r="E1379" s="970">
        <f>$I$2</f>
        <v>0.1</v>
      </c>
      <c r="F1379" s="967"/>
      <c r="G1379" s="968">
        <f>+G1378*E1379</f>
        <v>71526.100000000006</v>
      </c>
    </row>
    <row r="1380" spans="1:7" s="413" customFormat="1" ht="12.75" customHeight="1">
      <c r="A1380" s="1217" t="s">
        <v>94</v>
      </c>
      <c r="B1380" s="1218" t="s">
        <v>86</v>
      </c>
      <c r="C1380" s="1218"/>
      <c r="D1380" s="1219"/>
      <c r="E1380" s="1220"/>
      <c r="F1380" s="1221"/>
      <c r="G1380" s="1222">
        <f>G1378+G1379</f>
        <v>786787.1</v>
      </c>
    </row>
    <row r="1381" spans="1:7" s="413" customFormat="1" ht="12.75" customHeight="1">
      <c r="A1381" s="10"/>
      <c r="B1381" s="10"/>
      <c r="C1381" s="10"/>
      <c r="D1381" s="10"/>
      <c r="E1381" s="1004"/>
      <c r="F1381" s="10"/>
      <c r="G1381" s="46"/>
    </row>
    <row r="1382" spans="1:7" s="413" customFormat="1" ht="13.5" customHeight="1" thickBot="1">
      <c r="A1382" s="10" t="s">
        <v>501</v>
      </c>
      <c r="B1382" s="10"/>
      <c r="C1382" s="10"/>
      <c r="D1382" s="10"/>
      <c r="E1382" s="1004"/>
      <c r="F1382" s="10"/>
      <c r="G1382" s="46"/>
    </row>
    <row r="1383" spans="1:7" s="413" customFormat="1" ht="13.5" customHeight="1" thickTop="1">
      <c r="A1383" s="1797" t="s">
        <v>275</v>
      </c>
      <c r="B1383" s="1799" t="s">
        <v>295</v>
      </c>
      <c r="C1383" s="1799" t="s">
        <v>276</v>
      </c>
      <c r="D1383" s="1799" t="s">
        <v>277</v>
      </c>
      <c r="E1383" s="1801" t="s">
        <v>278</v>
      </c>
      <c r="F1383" s="916" t="s">
        <v>279</v>
      </c>
      <c r="G1383" s="916" t="s">
        <v>280</v>
      </c>
    </row>
    <row r="1384" spans="1:7" s="413" customFormat="1" ht="13.5" customHeight="1">
      <c r="A1384" s="1798"/>
      <c r="B1384" s="1800"/>
      <c r="C1384" s="1800"/>
      <c r="D1384" s="1800"/>
      <c r="E1384" s="1802"/>
      <c r="F1384" s="917" t="s">
        <v>67</v>
      </c>
      <c r="G1384" s="917" t="s">
        <v>67</v>
      </c>
    </row>
    <row r="1385" spans="1:7" s="413" customFormat="1" ht="13.5" customHeight="1">
      <c r="A1385" s="918" t="s">
        <v>68</v>
      </c>
      <c r="B1385" s="919" t="s">
        <v>298</v>
      </c>
      <c r="C1385" s="920"/>
      <c r="D1385" s="920"/>
      <c r="E1385" s="921"/>
      <c r="F1385" s="922"/>
      <c r="G1385" s="922"/>
    </row>
    <row r="1386" spans="1:7" s="413" customFormat="1" ht="13.5" customHeight="1">
      <c r="A1386" s="918"/>
      <c r="B1386" s="923" t="s">
        <v>69</v>
      </c>
      <c r="C1386" s="924" t="s">
        <v>70</v>
      </c>
      <c r="D1386" s="924" t="s">
        <v>71</v>
      </c>
      <c r="E1386" s="1155">
        <v>0.02</v>
      </c>
      <c r="F1386" s="926">
        <f>Upah!$F$26</f>
        <v>130000</v>
      </c>
      <c r="G1386" s="926">
        <f>+F1386*E1386</f>
        <v>2600</v>
      </c>
    </row>
    <row r="1387" spans="1:7" s="413" customFormat="1" ht="13.5" customHeight="1">
      <c r="A1387" s="918"/>
      <c r="B1387" s="1164" t="s">
        <v>57</v>
      </c>
      <c r="C1387" s="993" t="s">
        <v>72</v>
      </c>
      <c r="D1387" s="993" t="s">
        <v>71</v>
      </c>
      <c r="E1387" s="1155">
        <v>0.2</v>
      </c>
      <c r="F1387" s="995">
        <f>Upah!$F$18</f>
        <v>140000</v>
      </c>
      <c r="G1387" s="926">
        <f t="shared" ref="G1387:G1388" si="133">+F1387*E1387</f>
        <v>28000</v>
      </c>
    </row>
    <row r="1388" spans="1:7" s="413" customFormat="1" ht="13.5" customHeight="1">
      <c r="A1388" s="918"/>
      <c r="B1388" s="923" t="s">
        <v>73</v>
      </c>
      <c r="C1388" s="993" t="s">
        <v>74</v>
      </c>
      <c r="D1388" s="993" t="s">
        <v>71</v>
      </c>
      <c r="E1388" s="1155">
        <v>0.02</v>
      </c>
      <c r="F1388" s="995">
        <f>Upah!$F$10</f>
        <v>150000</v>
      </c>
      <c r="G1388" s="926">
        <f t="shared" si="133"/>
        <v>3000</v>
      </c>
    </row>
    <row r="1389" spans="1:7" s="413" customFormat="1" ht="13.5" customHeight="1">
      <c r="A1389" s="918"/>
      <c r="B1389" s="923" t="s">
        <v>50</v>
      </c>
      <c r="C1389" s="927" t="s">
        <v>75</v>
      </c>
      <c r="D1389" s="927" t="s">
        <v>71</v>
      </c>
      <c r="E1389" s="1156">
        <v>6.7000000000000002E-3</v>
      </c>
      <c r="F1389" s="929">
        <f>Upah!$F$8</f>
        <v>170000</v>
      </c>
      <c r="G1389" s="929">
        <f>+F1389*E1389</f>
        <v>1139</v>
      </c>
    </row>
    <row r="1390" spans="1:7" s="413" customFormat="1" ht="13.5" customHeight="1">
      <c r="A1390" s="918"/>
      <c r="B1390" s="930"/>
      <c r="C1390" s="931" t="s">
        <v>632</v>
      </c>
      <c r="D1390" s="932"/>
      <c r="E1390" s="933"/>
      <c r="F1390" s="934"/>
      <c r="G1390" s="935">
        <f>SUM(G1386:G1389)</f>
        <v>34739</v>
      </c>
    </row>
    <row r="1391" spans="1:7" s="413" customFormat="1" ht="13.5" customHeight="1">
      <c r="A1391" s="918" t="s">
        <v>77</v>
      </c>
      <c r="B1391" s="945" t="s">
        <v>299</v>
      </c>
      <c r="C1391" s="946"/>
      <c r="D1391" s="946"/>
      <c r="E1391" s="947"/>
      <c r="F1391" s="948"/>
      <c r="G1391" s="948"/>
    </row>
    <row r="1392" spans="1:7" s="413" customFormat="1" ht="13.5" customHeight="1">
      <c r="A1392" s="1170"/>
      <c r="B1392" s="1359" t="s">
        <v>504</v>
      </c>
      <c r="C1392" s="1168"/>
      <c r="D1392" s="1168" t="s">
        <v>291</v>
      </c>
      <c r="E1392" s="1169">
        <v>1</v>
      </c>
      <c r="F1392" s="1160">
        <f>Bahan!E216</f>
        <v>124000</v>
      </c>
      <c r="G1392" s="1160">
        <f t="shared" ref="G1392" si="134">+F1392*E1392</f>
        <v>124000</v>
      </c>
    </row>
    <row r="1393" spans="1:7" s="413" customFormat="1" ht="13.5" customHeight="1">
      <c r="A1393" s="918"/>
      <c r="B1393" s="930"/>
      <c r="C1393" s="940" t="s">
        <v>642</v>
      </c>
      <c r="D1393" s="941"/>
      <c r="E1393" s="942"/>
      <c r="F1393" s="943"/>
      <c r="G1393" s="944">
        <f>SUM(G1392:G1392)</f>
        <v>124000</v>
      </c>
    </row>
    <row r="1394" spans="1:7" s="413" customFormat="1" ht="13.5" customHeight="1">
      <c r="A1394" s="918" t="s">
        <v>80</v>
      </c>
      <c r="B1394" s="919" t="s">
        <v>250</v>
      </c>
      <c r="C1394" s="937"/>
      <c r="D1394" s="946"/>
      <c r="E1394" s="947"/>
      <c r="F1394" s="948"/>
      <c r="G1394" s="926">
        <v>0</v>
      </c>
    </row>
    <row r="1395" spans="1:7" s="413" customFormat="1" ht="13.5" customHeight="1">
      <c r="A1395" s="960"/>
      <c r="B1395" s="961"/>
      <c r="C1395" s="962" t="s">
        <v>287</v>
      </c>
      <c r="D1395" s="941"/>
      <c r="E1395" s="942"/>
      <c r="F1395" s="943"/>
      <c r="G1395" s="944">
        <v>0</v>
      </c>
    </row>
    <row r="1396" spans="1:7" s="413" customFormat="1" ht="13.5" customHeight="1">
      <c r="A1396" s="963" t="s">
        <v>83</v>
      </c>
      <c r="B1396" s="964" t="s">
        <v>292</v>
      </c>
      <c r="C1396" s="965"/>
      <c r="D1396" s="915"/>
      <c r="E1396" s="966"/>
      <c r="F1396" s="967"/>
      <c r="G1396" s="968">
        <f>+G1395+G1393+G1390</f>
        <v>158739</v>
      </c>
    </row>
    <row r="1397" spans="1:7" s="413" customFormat="1" ht="13.5" customHeight="1">
      <c r="A1397" s="963" t="s">
        <v>84</v>
      </c>
      <c r="B1397" s="969" t="s">
        <v>293</v>
      </c>
      <c r="C1397" s="912"/>
      <c r="D1397" s="915"/>
      <c r="E1397" s="970">
        <f>$I$2</f>
        <v>0.1</v>
      </c>
      <c r="F1397" s="967"/>
      <c r="G1397" s="968">
        <f>+G1396*E1397</f>
        <v>15873.900000000001</v>
      </c>
    </row>
    <row r="1398" spans="1:7" s="413" customFormat="1" ht="13.5" customHeight="1" thickBot="1">
      <c r="A1398" s="971" t="s">
        <v>85</v>
      </c>
      <c r="B1398" s="972" t="s">
        <v>86</v>
      </c>
      <c r="C1398" s="973"/>
      <c r="D1398" s="973"/>
      <c r="E1398" s="974"/>
      <c r="F1398" s="975"/>
      <c r="G1398" s="976">
        <f>+G1397+G1396</f>
        <v>174612.9</v>
      </c>
    </row>
    <row r="1399" spans="1:7" s="413" customFormat="1" ht="13.5" customHeight="1" thickTop="1">
      <c r="A1399" s="10"/>
      <c r="B1399" s="10"/>
      <c r="C1399" s="10"/>
      <c r="D1399" s="10"/>
      <c r="E1399" s="1004"/>
      <c r="F1399" s="10"/>
      <c r="G1399" s="46"/>
    </row>
    <row r="1400" spans="1:7" s="413" customFormat="1" ht="13.5" customHeight="1" thickBot="1">
      <c r="A1400" s="10" t="s">
        <v>500</v>
      </c>
      <c r="B1400" s="10"/>
      <c r="C1400" s="10"/>
      <c r="D1400" s="10"/>
      <c r="E1400" s="1004"/>
      <c r="F1400" s="10"/>
      <c r="G1400" s="46"/>
    </row>
    <row r="1401" spans="1:7" s="413" customFormat="1" ht="13.5" customHeight="1" thickTop="1">
      <c r="A1401" s="1797" t="s">
        <v>275</v>
      </c>
      <c r="B1401" s="1799" t="s">
        <v>295</v>
      </c>
      <c r="C1401" s="1799" t="s">
        <v>276</v>
      </c>
      <c r="D1401" s="1799" t="s">
        <v>277</v>
      </c>
      <c r="E1401" s="1801" t="s">
        <v>278</v>
      </c>
      <c r="F1401" s="916" t="s">
        <v>279</v>
      </c>
      <c r="G1401" s="916" t="s">
        <v>280</v>
      </c>
    </row>
    <row r="1402" spans="1:7" s="413" customFormat="1" ht="13.5" customHeight="1">
      <c r="A1402" s="1798"/>
      <c r="B1402" s="1800"/>
      <c r="C1402" s="1800"/>
      <c r="D1402" s="1800"/>
      <c r="E1402" s="1802"/>
      <c r="F1402" s="917" t="s">
        <v>67</v>
      </c>
      <c r="G1402" s="917" t="s">
        <v>67</v>
      </c>
    </row>
    <row r="1403" spans="1:7" s="413" customFormat="1" ht="13.5" customHeight="1">
      <c r="A1403" s="918" t="s">
        <v>68</v>
      </c>
      <c r="B1403" s="919" t="s">
        <v>298</v>
      </c>
      <c r="C1403" s="920"/>
      <c r="D1403" s="920"/>
      <c r="E1403" s="921"/>
      <c r="F1403" s="922"/>
      <c r="G1403" s="922"/>
    </row>
    <row r="1404" spans="1:7" s="413" customFormat="1" ht="13.5" customHeight="1">
      <c r="A1404" s="918"/>
      <c r="B1404" s="923" t="s">
        <v>69</v>
      </c>
      <c r="C1404" s="924" t="s">
        <v>70</v>
      </c>
      <c r="D1404" s="924" t="s">
        <v>71</v>
      </c>
      <c r="E1404" s="1155">
        <v>0.01</v>
      </c>
      <c r="F1404" s="926">
        <f>Upah!$F$26</f>
        <v>130000</v>
      </c>
      <c r="G1404" s="926">
        <f>+F1404*E1404</f>
        <v>1300</v>
      </c>
    </row>
    <row r="1405" spans="1:7" s="413" customFormat="1" ht="13.5" customHeight="1">
      <c r="A1405" s="918"/>
      <c r="B1405" s="1164" t="s">
        <v>57</v>
      </c>
      <c r="C1405" s="993" t="s">
        <v>72</v>
      </c>
      <c r="D1405" s="993" t="s">
        <v>71</v>
      </c>
      <c r="E1405" s="1155">
        <v>0.1</v>
      </c>
      <c r="F1405" s="995">
        <f>Upah!$F$18</f>
        <v>140000</v>
      </c>
      <c r="G1405" s="926">
        <f t="shared" ref="G1405:G1406" si="135">+F1405*E1405</f>
        <v>14000</v>
      </c>
    </row>
    <row r="1406" spans="1:7" s="413" customFormat="1" ht="13.5" customHeight="1">
      <c r="A1406" s="918"/>
      <c r="B1406" s="923" t="s">
        <v>73</v>
      </c>
      <c r="C1406" s="993" t="s">
        <v>74</v>
      </c>
      <c r="D1406" s="993" t="s">
        <v>71</v>
      </c>
      <c r="E1406" s="1155">
        <v>0.01</v>
      </c>
      <c r="F1406" s="995">
        <f>Upah!$F$10</f>
        <v>150000</v>
      </c>
      <c r="G1406" s="926">
        <f t="shared" si="135"/>
        <v>1500</v>
      </c>
    </row>
    <row r="1407" spans="1:7" s="413" customFormat="1" ht="13.5" customHeight="1">
      <c r="A1407" s="918"/>
      <c r="B1407" s="923" t="s">
        <v>50</v>
      </c>
      <c r="C1407" s="927" t="s">
        <v>75</v>
      </c>
      <c r="D1407" s="927" t="s">
        <v>71</v>
      </c>
      <c r="E1407" s="1156">
        <v>3.3E-3</v>
      </c>
      <c r="F1407" s="929">
        <f>Upah!$F$8</f>
        <v>170000</v>
      </c>
      <c r="G1407" s="929">
        <f>+F1407*E1407</f>
        <v>561</v>
      </c>
    </row>
    <row r="1408" spans="1:7" s="413" customFormat="1" ht="13.5" customHeight="1">
      <c r="A1408" s="918"/>
      <c r="B1408" s="930"/>
      <c r="C1408" s="931" t="s">
        <v>632</v>
      </c>
      <c r="D1408" s="932"/>
      <c r="E1408" s="933"/>
      <c r="F1408" s="934"/>
      <c r="G1408" s="935">
        <f>SUM(G1404:G1407)</f>
        <v>17361</v>
      </c>
    </row>
    <row r="1409" spans="1:7" s="413" customFormat="1" ht="13.5" customHeight="1">
      <c r="A1409" s="918" t="s">
        <v>77</v>
      </c>
      <c r="B1409" s="945" t="s">
        <v>299</v>
      </c>
      <c r="C1409" s="946"/>
      <c r="D1409" s="946"/>
      <c r="E1409" s="947"/>
      <c r="F1409" s="948"/>
      <c r="G1409" s="948"/>
    </row>
    <row r="1410" spans="1:7" s="413" customFormat="1" ht="13.5" customHeight="1">
      <c r="A1410" s="1170"/>
      <c r="B1410" s="1359" t="s">
        <v>737</v>
      </c>
      <c r="C1410" s="1168"/>
      <c r="D1410" s="1168" t="s">
        <v>291</v>
      </c>
      <c r="E1410" s="1169">
        <v>1</v>
      </c>
      <c r="F1410" s="1160">
        <f>Bahan!E222</f>
        <v>58000</v>
      </c>
      <c r="G1410" s="1160">
        <f t="shared" ref="G1410" si="136">+F1410*E1410</f>
        <v>58000</v>
      </c>
    </row>
    <row r="1411" spans="1:7" s="413" customFormat="1" ht="13.5" customHeight="1">
      <c r="A1411" s="918"/>
      <c r="B1411" s="930"/>
      <c r="C1411" s="940" t="s">
        <v>642</v>
      </c>
      <c r="D1411" s="941"/>
      <c r="E1411" s="942"/>
      <c r="F1411" s="943"/>
      <c r="G1411" s="944">
        <f>SUM(G1410:G1410)</f>
        <v>58000</v>
      </c>
    </row>
    <row r="1412" spans="1:7" s="413" customFormat="1" ht="13.5" customHeight="1">
      <c r="A1412" s="918" t="s">
        <v>80</v>
      </c>
      <c r="B1412" s="919" t="s">
        <v>250</v>
      </c>
      <c r="C1412" s="937"/>
      <c r="D1412" s="946"/>
      <c r="E1412" s="947"/>
      <c r="F1412" s="948"/>
      <c r="G1412" s="926">
        <v>0</v>
      </c>
    </row>
    <row r="1413" spans="1:7" s="413" customFormat="1" ht="13.5" customHeight="1">
      <c r="A1413" s="960"/>
      <c r="B1413" s="961"/>
      <c r="C1413" s="962" t="s">
        <v>287</v>
      </c>
      <c r="D1413" s="941"/>
      <c r="E1413" s="942"/>
      <c r="F1413" s="943"/>
      <c r="G1413" s="944">
        <v>0</v>
      </c>
    </row>
    <row r="1414" spans="1:7" s="413" customFormat="1" ht="13.5" customHeight="1">
      <c r="A1414" s="963" t="s">
        <v>83</v>
      </c>
      <c r="B1414" s="964" t="s">
        <v>292</v>
      </c>
      <c r="C1414" s="965"/>
      <c r="D1414" s="915"/>
      <c r="E1414" s="966"/>
      <c r="F1414" s="967"/>
      <c r="G1414" s="968">
        <f>+G1413+G1411+G1408</f>
        <v>75361</v>
      </c>
    </row>
    <row r="1415" spans="1:7" s="413" customFormat="1" ht="13.5" customHeight="1">
      <c r="A1415" s="963" t="s">
        <v>84</v>
      </c>
      <c r="B1415" s="969" t="s">
        <v>293</v>
      </c>
      <c r="C1415" s="912"/>
      <c r="D1415" s="915"/>
      <c r="E1415" s="970">
        <f>$I$2</f>
        <v>0.1</v>
      </c>
      <c r="F1415" s="967"/>
      <c r="G1415" s="968">
        <f>+G1414*E1415</f>
        <v>7536.1</v>
      </c>
    </row>
    <row r="1416" spans="1:7" s="413" customFormat="1" ht="13.5" customHeight="1" thickBot="1">
      <c r="A1416" s="971" t="s">
        <v>85</v>
      </c>
      <c r="B1416" s="972" t="s">
        <v>86</v>
      </c>
      <c r="C1416" s="973"/>
      <c r="D1416" s="973"/>
      <c r="E1416" s="974"/>
      <c r="F1416" s="975"/>
      <c r="G1416" s="976">
        <f>+G1415+G1414</f>
        <v>82897.100000000006</v>
      </c>
    </row>
    <row r="1417" spans="1:7" s="413" customFormat="1" ht="13.5" customHeight="1" thickTop="1">
      <c r="A1417" s="10"/>
      <c r="B1417" s="10"/>
      <c r="C1417" s="10"/>
      <c r="D1417" s="10"/>
      <c r="E1417" s="1004"/>
      <c r="F1417" s="10"/>
      <c r="G1417" s="46"/>
    </row>
    <row r="1418" spans="1:7" s="413" customFormat="1" ht="13.5" customHeight="1" thickBot="1">
      <c r="A1418" s="10" t="s">
        <v>505</v>
      </c>
      <c r="B1418" s="10"/>
      <c r="C1418" s="10"/>
      <c r="D1418" s="10"/>
      <c r="E1418" s="1004"/>
      <c r="F1418" s="10"/>
      <c r="G1418" s="46"/>
    </row>
    <row r="1419" spans="1:7" s="413" customFormat="1" ht="13.5" customHeight="1" thickTop="1">
      <c r="A1419" s="1797" t="s">
        <v>275</v>
      </c>
      <c r="B1419" s="1799" t="s">
        <v>295</v>
      </c>
      <c r="C1419" s="1799" t="s">
        <v>276</v>
      </c>
      <c r="D1419" s="1799" t="s">
        <v>277</v>
      </c>
      <c r="E1419" s="1801" t="s">
        <v>278</v>
      </c>
      <c r="F1419" s="916" t="s">
        <v>279</v>
      </c>
      <c r="G1419" s="916" t="s">
        <v>280</v>
      </c>
    </row>
    <row r="1420" spans="1:7" s="413" customFormat="1" ht="13.5" customHeight="1">
      <c r="A1420" s="1798"/>
      <c r="B1420" s="1800"/>
      <c r="C1420" s="1800"/>
      <c r="D1420" s="1800"/>
      <c r="E1420" s="1802"/>
      <c r="F1420" s="917" t="s">
        <v>67</v>
      </c>
      <c r="G1420" s="917" t="s">
        <v>67</v>
      </c>
    </row>
    <row r="1421" spans="1:7" s="413" customFormat="1" ht="13.5" customHeight="1">
      <c r="A1421" s="918" t="s">
        <v>68</v>
      </c>
      <c r="B1421" s="919" t="s">
        <v>298</v>
      </c>
      <c r="C1421" s="920"/>
      <c r="D1421" s="920"/>
      <c r="E1421" s="921"/>
      <c r="F1421" s="922"/>
      <c r="G1421" s="922"/>
    </row>
    <row r="1422" spans="1:7" s="413" customFormat="1" ht="13.5" customHeight="1">
      <c r="A1422" s="918"/>
      <c r="B1422" s="923" t="s">
        <v>69</v>
      </c>
      <c r="C1422" s="924" t="s">
        <v>70</v>
      </c>
      <c r="D1422" s="924" t="s">
        <v>71</v>
      </c>
      <c r="E1422" s="1155">
        <v>0.01</v>
      </c>
      <c r="F1422" s="926">
        <f>Upah!$F$26</f>
        <v>130000</v>
      </c>
      <c r="G1422" s="926">
        <f>+F1422*E1422</f>
        <v>1300</v>
      </c>
    </row>
    <row r="1423" spans="1:7" s="413" customFormat="1" ht="13.5" customHeight="1">
      <c r="A1423" s="918"/>
      <c r="B1423" s="1164" t="s">
        <v>57</v>
      </c>
      <c r="C1423" s="993" t="s">
        <v>72</v>
      </c>
      <c r="D1423" s="993" t="s">
        <v>71</v>
      </c>
      <c r="E1423" s="1155">
        <v>0.1</v>
      </c>
      <c r="F1423" s="995">
        <f>Upah!$F$18</f>
        <v>140000</v>
      </c>
      <c r="G1423" s="926">
        <f t="shared" ref="G1423:G1424" si="137">+F1423*E1423</f>
        <v>14000</v>
      </c>
    </row>
    <row r="1424" spans="1:7" s="413" customFormat="1" ht="13.5" customHeight="1">
      <c r="A1424" s="918"/>
      <c r="B1424" s="923" t="s">
        <v>73</v>
      </c>
      <c r="C1424" s="993" t="s">
        <v>74</v>
      </c>
      <c r="D1424" s="993" t="s">
        <v>71</v>
      </c>
      <c r="E1424" s="1155">
        <v>0.01</v>
      </c>
      <c r="F1424" s="995">
        <f>Upah!$F$10</f>
        <v>150000</v>
      </c>
      <c r="G1424" s="926">
        <f t="shared" si="137"/>
        <v>1500</v>
      </c>
    </row>
    <row r="1425" spans="1:7" s="413" customFormat="1" ht="13.5" customHeight="1">
      <c r="A1425" s="918"/>
      <c r="B1425" s="923" t="s">
        <v>50</v>
      </c>
      <c r="C1425" s="927" t="s">
        <v>75</v>
      </c>
      <c r="D1425" s="927" t="s">
        <v>71</v>
      </c>
      <c r="E1425" s="1156">
        <v>3.3E-3</v>
      </c>
      <c r="F1425" s="929">
        <f>Upah!$F$8</f>
        <v>170000</v>
      </c>
      <c r="G1425" s="929">
        <f>+F1425*E1425</f>
        <v>561</v>
      </c>
    </row>
    <row r="1426" spans="1:7" s="413" customFormat="1" ht="13.5" customHeight="1">
      <c r="A1426" s="918"/>
      <c r="B1426" s="930"/>
      <c r="C1426" s="931" t="s">
        <v>632</v>
      </c>
      <c r="D1426" s="932"/>
      <c r="E1426" s="933"/>
      <c r="F1426" s="934"/>
      <c r="G1426" s="935">
        <f>SUM(G1422:G1425)</f>
        <v>17361</v>
      </c>
    </row>
    <row r="1427" spans="1:7" s="413" customFormat="1" ht="13.5" customHeight="1">
      <c r="A1427" s="918" t="s">
        <v>77</v>
      </c>
      <c r="B1427" s="945" t="s">
        <v>299</v>
      </c>
      <c r="C1427" s="946"/>
      <c r="D1427" s="946"/>
      <c r="E1427" s="947"/>
      <c r="F1427" s="948"/>
      <c r="G1427" s="948"/>
    </row>
    <row r="1428" spans="1:7" s="413" customFormat="1" ht="13.5" customHeight="1">
      <c r="A1428" s="1170"/>
      <c r="B1428" s="1359" t="s">
        <v>119</v>
      </c>
      <c r="C1428" s="1168"/>
      <c r="D1428" s="1168" t="s">
        <v>291</v>
      </c>
      <c r="E1428" s="1169">
        <v>1</v>
      </c>
      <c r="F1428" s="1160">
        <f>Bahan!E214</f>
        <v>36500</v>
      </c>
      <c r="G1428" s="1160">
        <f t="shared" ref="G1428" si="138">+F1428*E1428</f>
        <v>36500</v>
      </c>
    </row>
    <row r="1429" spans="1:7" s="413" customFormat="1" ht="13.5" customHeight="1">
      <c r="A1429" s="918"/>
      <c r="B1429" s="930"/>
      <c r="C1429" s="940" t="s">
        <v>642</v>
      </c>
      <c r="D1429" s="941"/>
      <c r="E1429" s="942"/>
      <c r="F1429" s="943"/>
      <c r="G1429" s="944">
        <f>SUM(G1428:G1428)</f>
        <v>36500</v>
      </c>
    </row>
    <row r="1430" spans="1:7" s="413" customFormat="1" ht="13.5" customHeight="1">
      <c r="A1430" s="918" t="s">
        <v>80</v>
      </c>
      <c r="B1430" s="919" t="s">
        <v>250</v>
      </c>
      <c r="C1430" s="937"/>
      <c r="D1430" s="946"/>
      <c r="E1430" s="947"/>
      <c r="F1430" s="948"/>
      <c r="G1430" s="926">
        <v>0</v>
      </c>
    </row>
    <row r="1431" spans="1:7" s="413" customFormat="1" ht="13.5" customHeight="1">
      <c r="A1431" s="960"/>
      <c r="B1431" s="961"/>
      <c r="C1431" s="962" t="s">
        <v>287</v>
      </c>
      <c r="D1431" s="941"/>
      <c r="E1431" s="942"/>
      <c r="F1431" s="943"/>
      <c r="G1431" s="944">
        <v>0</v>
      </c>
    </row>
    <row r="1432" spans="1:7" s="413" customFormat="1" ht="13.5" customHeight="1">
      <c r="A1432" s="963" t="s">
        <v>83</v>
      </c>
      <c r="B1432" s="964" t="s">
        <v>292</v>
      </c>
      <c r="C1432" s="965"/>
      <c r="D1432" s="915"/>
      <c r="E1432" s="966"/>
      <c r="F1432" s="967"/>
      <c r="G1432" s="968">
        <f>+G1431+G1429+G1426</f>
        <v>53861</v>
      </c>
    </row>
    <row r="1433" spans="1:7" s="413" customFormat="1" ht="13.5" customHeight="1">
      <c r="A1433" s="963" t="s">
        <v>84</v>
      </c>
      <c r="B1433" s="969" t="s">
        <v>293</v>
      </c>
      <c r="C1433" s="912"/>
      <c r="D1433" s="915"/>
      <c r="E1433" s="970">
        <f>$I$2</f>
        <v>0.1</v>
      </c>
      <c r="F1433" s="967"/>
      <c r="G1433" s="968">
        <f>+G1432*E1433</f>
        <v>5386.1</v>
      </c>
    </row>
    <row r="1434" spans="1:7" s="413" customFormat="1" ht="13.5" customHeight="1" thickBot="1">
      <c r="A1434" s="971" t="s">
        <v>85</v>
      </c>
      <c r="B1434" s="972" t="s">
        <v>86</v>
      </c>
      <c r="C1434" s="973"/>
      <c r="D1434" s="973"/>
      <c r="E1434" s="974"/>
      <c r="F1434" s="975"/>
      <c r="G1434" s="976">
        <f>+G1433+G1432</f>
        <v>59247.1</v>
      </c>
    </row>
    <row r="1435" spans="1:7" s="413" customFormat="1" ht="13.5" customHeight="1" thickTop="1">
      <c r="A1435" s="10"/>
      <c r="B1435" s="10"/>
      <c r="C1435" s="10"/>
      <c r="D1435" s="10"/>
      <c r="E1435" s="1004"/>
      <c r="F1435" s="10"/>
      <c r="G1435" s="46"/>
    </row>
    <row r="1436" spans="1:7" s="413" customFormat="1" ht="13.5" customHeight="1" thickBot="1">
      <c r="A1436" s="10" t="s">
        <v>506</v>
      </c>
      <c r="B1436" s="10"/>
      <c r="C1436" s="10"/>
      <c r="D1436" s="10"/>
      <c r="E1436" s="1004"/>
      <c r="F1436" s="10"/>
      <c r="G1436" s="46"/>
    </row>
    <row r="1437" spans="1:7" s="413" customFormat="1" ht="13.5" customHeight="1" thickTop="1">
      <c r="A1437" s="1797" t="s">
        <v>275</v>
      </c>
      <c r="B1437" s="1799" t="s">
        <v>295</v>
      </c>
      <c r="C1437" s="1799" t="s">
        <v>276</v>
      </c>
      <c r="D1437" s="1799" t="s">
        <v>277</v>
      </c>
      <c r="E1437" s="1801" t="s">
        <v>278</v>
      </c>
      <c r="F1437" s="916" t="s">
        <v>279</v>
      </c>
      <c r="G1437" s="916" t="s">
        <v>280</v>
      </c>
    </row>
    <row r="1438" spans="1:7" s="413" customFormat="1" ht="13.5" customHeight="1">
      <c r="A1438" s="1798"/>
      <c r="B1438" s="1800"/>
      <c r="C1438" s="1800"/>
      <c r="D1438" s="1800"/>
      <c r="E1438" s="1802"/>
      <c r="F1438" s="917" t="s">
        <v>67</v>
      </c>
      <c r="G1438" s="917" t="s">
        <v>67</v>
      </c>
    </row>
    <row r="1439" spans="1:7" s="413" customFormat="1" ht="13.5" customHeight="1">
      <c r="A1439" s="918" t="s">
        <v>68</v>
      </c>
      <c r="B1439" s="919" t="s">
        <v>298</v>
      </c>
      <c r="C1439" s="920"/>
      <c r="D1439" s="920"/>
      <c r="E1439" s="921"/>
      <c r="F1439" s="922"/>
      <c r="G1439" s="922"/>
    </row>
    <row r="1440" spans="1:7" s="413" customFormat="1" ht="13.5" customHeight="1">
      <c r="A1440" s="918"/>
      <c r="B1440" s="923" t="s">
        <v>69</v>
      </c>
      <c r="C1440" s="924" t="s">
        <v>70</v>
      </c>
      <c r="D1440" s="924" t="s">
        <v>71</v>
      </c>
      <c r="E1440" s="1155">
        <v>1.4999999999999999E-2</v>
      </c>
      <c r="F1440" s="926">
        <f>Upah!$F$26</f>
        <v>130000</v>
      </c>
      <c r="G1440" s="926">
        <f>+F1440*E1440</f>
        <v>1950</v>
      </c>
    </row>
    <row r="1441" spans="1:7" s="413" customFormat="1" ht="13.5" customHeight="1">
      <c r="A1441" s="918"/>
      <c r="B1441" s="1164" t="s">
        <v>57</v>
      </c>
      <c r="C1441" s="993" t="s">
        <v>72</v>
      </c>
      <c r="D1441" s="993" t="s">
        <v>71</v>
      </c>
      <c r="E1441" s="1155">
        <v>0.15</v>
      </c>
      <c r="F1441" s="995">
        <f>Upah!$F$18</f>
        <v>140000</v>
      </c>
      <c r="G1441" s="926">
        <f t="shared" ref="G1441:G1442" si="139">+F1441*E1441</f>
        <v>21000</v>
      </c>
    </row>
    <row r="1442" spans="1:7" s="413" customFormat="1" ht="13.5" customHeight="1">
      <c r="A1442" s="918"/>
      <c r="B1442" s="923" t="s">
        <v>73</v>
      </c>
      <c r="C1442" s="993" t="s">
        <v>74</v>
      </c>
      <c r="D1442" s="993" t="s">
        <v>71</v>
      </c>
      <c r="E1442" s="1155">
        <v>1.4999999999999999E-2</v>
      </c>
      <c r="F1442" s="995">
        <f>Upah!$F$10</f>
        <v>150000</v>
      </c>
      <c r="G1442" s="926">
        <f t="shared" si="139"/>
        <v>2250</v>
      </c>
    </row>
    <row r="1443" spans="1:7" s="413" customFormat="1" ht="13.5" customHeight="1">
      <c r="A1443" s="918"/>
      <c r="B1443" s="923" t="s">
        <v>50</v>
      </c>
      <c r="C1443" s="927" t="s">
        <v>75</v>
      </c>
      <c r="D1443" s="927" t="s">
        <v>71</v>
      </c>
      <c r="E1443" s="1156">
        <v>5.0000000000000001E-3</v>
      </c>
      <c r="F1443" s="929">
        <f>Upah!$F$8</f>
        <v>170000</v>
      </c>
      <c r="G1443" s="929">
        <f>+F1443*E1443</f>
        <v>850</v>
      </c>
    </row>
    <row r="1444" spans="1:7" s="413" customFormat="1" ht="13.5" customHeight="1">
      <c r="A1444" s="918"/>
      <c r="B1444" s="930"/>
      <c r="C1444" s="931" t="s">
        <v>632</v>
      </c>
      <c r="D1444" s="932"/>
      <c r="E1444" s="933"/>
      <c r="F1444" s="934"/>
      <c r="G1444" s="935">
        <f>SUM(G1440:G1443)</f>
        <v>26050</v>
      </c>
    </row>
    <row r="1445" spans="1:7" s="413" customFormat="1" ht="13.5" customHeight="1">
      <c r="A1445" s="918" t="s">
        <v>77</v>
      </c>
      <c r="B1445" s="945" t="s">
        <v>299</v>
      </c>
      <c r="C1445" s="946"/>
      <c r="D1445" s="946"/>
      <c r="E1445" s="947"/>
      <c r="F1445" s="948"/>
      <c r="G1445" s="948"/>
    </row>
    <row r="1446" spans="1:7" s="413" customFormat="1" ht="13.5" customHeight="1">
      <c r="A1446" s="1170"/>
      <c r="B1446" s="1359" t="s">
        <v>238</v>
      </c>
      <c r="C1446" s="1168"/>
      <c r="D1446" s="1168" t="s">
        <v>291</v>
      </c>
      <c r="E1446" s="1169">
        <v>1</v>
      </c>
      <c r="F1446" s="1160">
        <f>Bahan!E217</f>
        <v>58000</v>
      </c>
      <c r="G1446" s="1160">
        <f t="shared" ref="G1446" si="140">+F1446*E1446</f>
        <v>58000</v>
      </c>
    </row>
    <row r="1447" spans="1:7" s="413" customFormat="1" ht="13.5" customHeight="1">
      <c r="A1447" s="918"/>
      <c r="B1447" s="930"/>
      <c r="C1447" s="940" t="s">
        <v>642</v>
      </c>
      <c r="D1447" s="941"/>
      <c r="E1447" s="942"/>
      <c r="F1447" s="943"/>
      <c r="G1447" s="944">
        <f>SUM(G1446:G1446)</f>
        <v>58000</v>
      </c>
    </row>
    <row r="1448" spans="1:7" s="413" customFormat="1" ht="13.5" customHeight="1">
      <c r="A1448" s="918" t="s">
        <v>80</v>
      </c>
      <c r="B1448" s="919" t="s">
        <v>250</v>
      </c>
      <c r="C1448" s="937"/>
      <c r="D1448" s="946"/>
      <c r="E1448" s="947"/>
      <c r="F1448" s="948"/>
      <c r="G1448" s="926">
        <v>0</v>
      </c>
    </row>
    <row r="1449" spans="1:7" s="413" customFormat="1" ht="13.5" customHeight="1">
      <c r="A1449" s="960"/>
      <c r="B1449" s="961"/>
      <c r="C1449" s="962" t="s">
        <v>287</v>
      </c>
      <c r="D1449" s="941"/>
      <c r="E1449" s="942"/>
      <c r="F1449" s="943"/>
      <c r="G1449" s="944">
        <v>0</v>
      </c>
    </row>
    <row r="1450" spans="1:7" s="413" customFormat="1" ht="13.5" customHeight="1">
      <c r="A1450" s="963" t="s">
        <v>83</v>
      </c>
      <c r="B1450" s="964" t="s">
        <v>292</v>
      </c>
      <c r="C1450" s="965"/>
      <c r="D1450" s="915"/>
      <c r="E1450" s="966"/>
      <c r="F1450" s="967"/>
      <c r="G1450" s="968">
        <f>+G1449+G1447+G1444</f>
        <v>84050</v>
      </c>
    </row>
    <row r="1451" spans="1:7" s="413" customFormat="1" ht="13.5" customHeight="1">
      <c r="A1451" s="963" t="s">
        <v>84</v>
      </c>
      <c r="B1451" s="969" t="s">
        <v>293</v>
      </c>
      <c r="C1451" s="912"/>
      <c r="D1451" s="915"/>
      <c r="E1451" s="970">
        <f>$I$2</f>
        <v>0.1</v>
      </c>
      <c r="F1451" s="967"/>
      <c r="G1451" s="968">
        <f>+G1450*E1451</f>
        <v>8405</v>
      </c>
    </row>
    <row r="1452" spans="1:7" s="413" customFormat="1" ht="13.5" customHeight="1" thickBot="1">
      <c r="A1452" s="971" t="s">
        <v>85</v>
      </c>
      <c r="B1452" s="972" t="s">
        <v>86</v>
      </c>
      <c r="C1452" s="973"/>
      <c r="D1452" s="973"/>
      <c r="E1452" s="974"/>
      <c r="F1452" s="975"/>
      <c r="G1452" s="976">
        <f>+G1451+G1450</f>
        <v>92455</v>
      </c>
    </row>
    <row r="1453" spans="1:7" ht="13.5" customHeight="1" thickTop="1"/>
    <row r="1454" spans="1:7" s="111" customFormat="1">
      <c r="A1454" s="10"/>
      <c r="B1454" s="10"/>
      <c r="C1454" s="10"/>
      <c r="D1454" s="10"/>
      <c r="E1454" s="1004"/>
      <c r="F1454" s="10"/>
      <c r="G1454" s="46"/>
    </row>
    <row r="1455" spans="1:7" s="111" customFormat="1">
      <c r="A1455" s="10"/>
      <c r="B1455" s="10"/>
      <c r="C1455" s="10"/>
      <c r="D1455" s="10"/>
      <c r="E1455" s="1004"/>
      <c r="F1455" s="10"/>
      <c r="G1455" s="46"/>
    </row>
    <row r="1456" spans="1:7" ht="12" customHeight="1">
      <c r="A1456" s="10" t="s">
        <v>507</v>
      </c>
    </row>
    <row r="1457" spans="1:7" s="413" customFormat="1" ht="12" customHeight="1" thickBot="1">
      <c r="A1457" s="992" t="s">
        <v>508</v>
      </c>
      <c r="B1457" s="10"/>
      <c r="C1457" s="10"/>
      <c r="D1457" s="10"/>
      <c r="E1457" s="1004"/>
      <c r="F1457" s="10"/>
      <c r="G1457" s="46"/>
    </row>
    <row r="1458" spans="1:7" s="413" customFormat="1" ht="12" customHeight="1" thickTop="1">
      <c r="A1458" s="1797" t="s">
        <v>275</v>
      </c>
      <c r="B1458" s="1799" t="s">
        <v>295</v>
      </c>
      <c r="C1458" s="1799" t="s">
        <v>276</v>
      </c>
      <c r="D1458" s="1799" t="s">
        <v>277</v>
      </c>
      <c r="E1458" s="1801" t="s">
        <v>278</v>
      </c>
      <c r="F1458" s="916" t="s">
        <v>279</v>
      </c>
      <c r="G1458" s="916" t="s">
        <v>280</v>
      </c>
    </row>
    <row r="1459" spans="1:7" s="413" customFormat="1" ht="12" customHeight="1">
      <c r="A1459" s="1798"/>
      <c r="B1459" s="1800"/>
      <c r="C1459" s="1800"/>
      <c r="D1459" s="1800"/>
      <c r="E1459" s="1802"/>
      <c r="F1459" s="917" t="s">
        <v>67</v>
      </c>
      <c r="G1459" s="917" t="s">
        <v>67</v>
      </c>
    </row>
    <row r="1460" spans="1:7" s="413" customFormat="1" ht="12" customHeight="1">
      <c r="A1460" s="918" t="s">
        <v>68</v>
      </c>
      <c r="B1460" s="919" t="s">
        <v>298</v>
      </c>
      <c r="C1460" s="920"/>
      <c r="D1460" s="920"/>
      <c r="E1460" s="921"/>
      <c r="F1460" s="922"/>
      <c r="G1460" s="922"/>
    </row>
    <row r="1461" spans="1:7" s="413" customFormat="1" ht="12" customHeight="1">
      <c r="A1461" s="918"/>
      <c r="B1461" s="923" t="s">
        <v>69</v>
      </c>
      <c r="C1461" s="924" t="s">
        <v>70</v>
      </c>
      <c r="D1461" s="924" t="s">
        <v>71</v>
      </c>
      <c r="E1461" s="1155">
        <v>1.4999999999999999E-2</v>
      </c>
      <c r="F1461" s="926">
        <f>Upah!$F$26</f>
        <v>130000</v>
      </c>
      <c r="G1461" s="926">
        <f>+F1461*E1461</f>
        <v>1950</v>
      </c>
    </row>
    <row r="1462" spans="1:7" s="413" customFormat="1" ht="12" customHeight="1">
      <c r="A1462" s="918"/>
      <c r="B1462" s="1164" t="s">
        <v>57</v>
      </c>
      <c r="C1462" s="993" t="s">
        <v>72</v>
      </c>
      <c r="D1462" s="993" t="s">
        <v>71</v>
      </c>
      <c r="E1462" s="1155">
        <v>0.15</v>
      </c>
      <c r="F1462" s="995">
        <f>Upah!$F$18</f>
        <v>140000</v>
      </c>
      <c r="G1462" s="926">
        <f t="shared" ref="G1462:G1463" si="141">+F1462*E1462</f>
        <v>21000</v>
      </c>
    </row>
    <row r="1463" spans="1:7" s="413" customFormat="1" ht="12" customHeight="1">
      <c r="A1463" s="918"/>
      <c r="B1463" s="923" t="s">
        <v>73</v>
      </c>
      <c r="C1463" s="993" t="s">
        <v>74</v>
      </c>
      <c r="D1463" s="993" t="s">
        <v>71</v>
      </c>
      <c r="E1463" s="1155">
        <v>1.4999999999999999E-2</v>
      </c>
      <c r="F1463" s="995">
        <f>Upah!$F$10</f>
        <v>150000</v>
      </c>
      <c r="G1463" s="926">
        <f t="shared" si="141"/>
        <v>2250</v>
      </c>
    </row>
    <row r="1464" spans="1:7" s="413" customFormat="1" ht="12" customHeight="1">
      <c r="A1464" s="918"/>
      <c r="B1464" s="923" t="s">
        <v>50</v>
      </c>
      <c r="C1464" s="927" t="s">
        <v>75</v>
      </c>
      <c r="D1464" s="927" t="s">
        <v>71</v>
      </c>
      <c r="E1464" s="1156">
        <v>5.0000000000000001E-3</v>
      </c>
      <c r="F1464" s="929">
        <f>Upah!$F$8</f>
        <v>170000</v>
      </c>
      <c r="G1464" s="929">
        <f>+F1464*E1464</f>
        <v>850</v>
      </c>
    </row>
    <row r="1465" spans="1:7" s="413" customFormat="1" ht="12" customHeight="1">
      <c r="A1465" s="918"/>
      <c r="B1465" s="930"/>
      <c r="C1465" s="931" t="s">
        <v>632</v>
      </c>
      <c r="D1465" s="932"/>
      <c r="E1465" s="933"/>
      <c r="F1465" s="934"/>
      <c r="G1465" s="935">
        <f>SUM(G1461:G1464)</f>
        <v>26050</v>
      </c>
    </row>
    <row r="1466" spans="1:7" s="413" customFormat="1" ht="12" customHeight="1">
      <c r="A1466" s="918" t="s">
        <v>77</v>
      </c>
      <c r="B1466" s="945" t="s">
        <v>299</v>
      </c>
      <c r="C1466" s="946"/>
      <c r="D1466" s="946"/>
      <c r="E1466" s="947"/>
      <c r="F1466" s="948"/>
      <c r="G1466" s="948"/>
    </row>
    <row r="1467" spans="1:7" s="413" customFormat="1" ht="12" customHeight="1">
      <c r="A1467" s="1170"/>
      <c r="B1467" s="1369" t="s">
        <v>510</v>
      </c>
      <c r="C1467" s="1370"/>
      <c r="D1467" s="1370" t="s">
        <v>357</v>
      </c>
      <c r="E1467" s="1371">
        <v>1.1000000000000001</v>
      </c>
      <c r="F1467" s="1160">
        <f>Bahan!E179</f>
        <v>200000</v>
      </c>
      <c r="G1467" s="1160">
        <f t="shared" ref="G1467" si="142">+F1467*E1467</f>
        <v>220000.00000000003</v>
      </c>
    </row>
    <row r="1468" spans="1:7" s="413" customFormat="1" ht="12" customHeight="1">
      <c r="A1468" s="1372"/>
      <c r="B1468" s="1373" t="s">
        <v>511</v>
      </c>
      <c r="C1468" s="1374"/>
      <c r="D1468" s="1374" t="s">
        <v>509</v>
      </c>
      <c r="E1468" s="1375">
        <v>0.05</v>
      </c>
      <c r="F1468" s="1376">
        <f>Bahan!E185</f>
        <v>12500</v>
      </c>
      <c r="G1468" s="1376">
        <f t="shared" ref="G1468" si="143">E1468*F1468</f>
        <v>625</v>
      </c>
    </row>
    <row r="1469" spans="1:7" s="413" customFormat="1" ht="12" customHeight="1">
      <c r="A1469" s="918"/>
      <c r="B1469" s="930"/>
      <c r="C1469" s="940" t="s">
        <v>642</v>
      </c>
      <c r="D1469" s="941"/>
      <c r="E1469" s="942"/>
      <c r="F1469" s="943"/>
      <c r="G1469" s="944">
        <f>SUM(G1467:G1468)</f>
        <v>220625.00000000003</v>
      </c>
    </row>
    <row r="1470" spans="1:7" s="413" customFormat="1" ht="12" customHeight="1">
      <c r="A1470" s="918" t="s">
        <v>80</v>
      </c>
      <c r="B1470" s="919" t="s">
        <v>250</v>
      </c>
      <c r="C1470" s="937"/>
      <c r="D1470" s="946"/>
      <c r="E1470" s="947"/>
      <c r="F1470" s="948"/>
      <c r="G1470" s="926">
        <v>0</v>
      </c>
    </row>
    <row r="1471" spans="1:7" s="413" customFormat="1" ht="12" customHeight="1">
      <c r="A1471" s="960"/>
      <c r="B1471" s="961"/>
      <c r="C1471" s="962" t="s">
        <v>287</v>
      </c>
      <c r="D1471" s="941"/>
      <c r="E1471" s="942"/>
      <c r="F1471" s="943"/>
      <c r="G1471" s="944">
        <v>0</v>
      </c>
    </row>
    <row r="1472" spans="1:7" s="413" customFormat="1" ht="12" customHeight="1">
      <c r="A1472" s="963" t="s">
        <v>83</v>
      </c>
      <c r="B1472" s="964" t="s">
        <v>292</v>
      </c>
      <c r="C1472" s="965"/>
      <c r="D1472" s="915"/>
      <c r="E1472" s="966"/>
      <c r="F1472" s="967"/>
      <c r="G1472" s="968">
        <f>+G1471+G1469+G1465</f>
        <v>246675.00000000003</v>
      </c>
    </row>
    <row r="1473" spans="1:7" s="413" customFormat="1" ht="12" customHeight="1">
      <c r="A1473" s="963" t="s">
        <v>84</v>
      </c>
      <c r="B1473" s="969" t="s">
        <v>293</v>
      </c>
      <c r="C1473" s="912"/>
      <c r="D1473" s="915"/>
      <c r="E1473" s="970">
        <f>$I$2</f>
        <v>0.1</v>
      </c>
      <c r="F1473" s="967"/>
      <c r="G1473" s="968">
        <f>+G1472*E1473</f>
        <v>24667.500000000004</v>
      </c>
    </row>
    <row r="1474" spans="1:7" s="413" customFormat="1" ht="12" customHeight="1" thickBot="1">
      <c r="A1474" s="971" t="s">
        <v>85</v>
      </c>
      <c r="B1474" s="972" t="s">
        <v>86</v>
      </c>
      <c r="C1474" s="973"/>
      <c r="D1474" s="973"/>
      <c r="E1474" s="974"/>
      <c r="F1474" s="975"/>
      <c r="G1474" s="976">
        <f>+G1473+G1472</f>
        <v>271342.50000000006</v>
      </c>
    </row>
    <row r="1475" spans="1:7" ht="12" customHeight="1" thickTop="1"/>
    <row r="1476" spans="1:7" s="413" customFormat="1" ht="12" customHeight="1" thickBot="1">
      <c r="A1476" s="992" t="s">
        <v>751</v>
      </c>
      <c r="B1476" s="980"/>
      <c r="C1476" s="980"/>
      <c r="D1476" s="980"/>
      <c r="E1476" s="1356"/>
      <c r="F1476" s="980"/>
      <c r="G1476" s="1357"/>
    </row>
    <row r="1477" spans="1:7" s="413" customFormat="1" ht="12" customHeight="1" thickTop="1">
      <c r="A1477" s="1797" t="s">
        <v>275</v>
      </c>
      <c r="B1477" s="1799" t="s">
        <v>295</v>
      </c>
      <c r="C1477" s="1799" t="s">
        <v>276</v>
      </c>
      <c r="D1477" s="1799" t="s">
        <v>277</v>
      </c>
      <c r="E1477" s="1801" t="s">
        <v>278</v>
      </c>
      <c r="F1477" s="916" t="s">
        <v>279</v>
      </c>
      <c r="G1477" s="916" t="s">
        <v>280</v>
      </c>
    </row>
    <row r="1478" spans="1:7" s="413" customFormat="1" ht="12" customHeight="1">
      <c r="A1478" s="1798"/>
      <c r="B1478" s="1800"/>
      <c r="C1478" s="1800"/>
      <c r="D1478" s="1800"/>
      <c r="E1478" s="1802"/>
      <c r="F1478" s="917" t="s">
        <v>67</v>
      </c>
      <c r="G1478" s="917" t="s">
        <v>67</v>
      </c>
    </row>
    <row r="1479" spans="1:7" s="413" customFormat="1" ht="12" customHeight="1">
      <c r="A1479" s="918" t="s">
        <v>68</v>
      </c>
      <c r="B1479" s="919" t="s">
        <v>298</v>
      </c>
      <c r="C1479" s="920"/>
      <c r="D1479" s="920"/>
      <c r="E1479" s="921"/>
      <c r="F1479" s="922"/>
      <c r="G1479" s="922"/>
    </row>
    <row r="1480" spans="1:7" s="413" customFormat="1" ht="12" customHeight="1">
      <c r="A1480" s="918"/>
      <c r="B1480" s="923" t="s">
        <v>69</v>
      </c>
      <c r="C1480" s="924" t="s">
        <v>70</v>
      </c>
      <c r="D1480" s="924" t="s">
        <v>71</v>
      </c>
      <c r="E1480" s="1155">
        <v>1.7000000000000001E-2</v>
      </c>
      <c r="F1480" s="926">
        <f>Upah!$F$26</f>
        <v>130000</v>
      </c>
      <c r="G1480" s="926">
        <f>+F1480*E1480</f>
        <v>2210</v>
      </c>
    </row>
    <row r="1481" spans="1:7" s="413" customFormat="1" ht="12" customHeight="1">
      <c r="A1481" s="918"/>
      <c r="B1481" s="1164" t="s">
        <v>57</v>
      </c>
      <c r="C1481" s="993" t="s">
        <v>72</v>
      </c>
      <c r="D1481" s="993" t="s">
        <v>71</v>
      </c>
      <c r="E1481" s="1155">
        <v>0.17</v>
      </c>
      <c r="F1481" s="995">
        <f>Upah!$F$18</f>
        <v>140000</v>
      </c>
      <c r="G1481" s="926">
        <f t="shared" ref="G1481:G1482" si="144">+F1481*E1481</f>
        <v>23800</v>
      </c>
    </row>
    <row r="1482" spans="1:7" s="413" customFormat="1" ht="12" customHeight="1">
      <c r="A1482" s="918"/>
      <c r="B1482" s="923" t="s">
        <v>73</v>
      </c>
      <c r="C1482" s="993" t="s">
        <v>74</v>
      </c>
      <c r="D1482" s="993" t="s">
        <v>71</v>
      </c>
      <c r="E1482" s="1155">
        <v>1.7000000000000001E-2</v>
      </c>
      <c r="F1482" s="995">
        <f>Upah!$F$10</f>
        <v>150000</v>
      </c>
      <c r="G1482" s="926">
        <f t="shared" si="144"/>
        <v>2550</v>
      </c>
    </row>
    <row r="1483" spans="1:7" s="413" customFormat="1" ht="12" customHeight="1">
      <c r="A1483" s="918"/>
      <c r="B1483" s="923" t="s">
        <v>50</v>
      </c>
      <c r="C1483" s="927" t="s">
        <v>75</v>
      </c>
      <c r="D1483" s="927" t="s">
        <v>71</v>
      </c>
      <c r="E1483" s="1156">
        <v>5.7000000000000002E-3</v>
      </c>
      <c r="F1483" s="929">
        <f>Upah!$F$8</f>
        <v>170000</v>
      </c>
      <c r="G1483" s="929">
        <f>+F1483*E1483</f>
        <v>969</v>
      </c>
    </row>
    <row r="1484" spans="1:7" s="413" customFormat="1" ht="12" customHeight="1">
      <c r="A1484" s="918"/>
      <c r="B1484" s="930"/>
      <c r="C1484" s="931" t="s">
        <v>632</v>
      </c>
      <c r="D1484" s="932"/>
      <c r="E1484" s="933"/>
      <c r="F1484" s="934"/>
      <c r="G1484" s="935">
        <f>SUM(G1480:G1483)</f>
        <v>29529</v>
      </c>
    </row>
    <row r="1485" spans="1:7" s="413" customFormat="1" ht="12" customHeight="1">
      <c r="A1485" s="918" t="s">
        <v>77</v>
      </c>
      <c r="B1485" s="945" t="s">
        <v>299</v>
      </c>
      <c r="C1485" s="946"/>
      <c r="D1485" s="946"/>
      <c r="E1485" s="947"/>
      <c r="F1485" s="948"/>
      <c r="G1485" s="948"/>
    </row>
    <row r="1486" spans="1:7" s="413" customFormat="1" ht="12" customHeight="1">
      <c r="A1486" s="1170"/>
      <c r="B1486" s="1369" t="s">
        <v>750</v>
      </c>
      <c r="C1486" s="1370"/>
      <c r="D1486" s="1370" t="s">
        <v>357</v>
      </c>
      <c r="E1486" s="1371">
        <v>1.1000000000000001</v>
      </c>
      <c r="F1486" s="1160">
        <f>Bahan!E181</f>
        <v>350000</v>
      </c>
      <c r="G1486" s="1160">
        <f t="shared" ref="G1486" si="145">+F1486*E1486</f>
        <v>385000.00000000006</v>
      </c>
    </row>
    <row r="1487" spans="1:7" s="413" customFormat="1" ht="12" customHeight="1">
      <c r="A1487" s="1372"/>
      <c r="B1487" s="1373" t="s">
        <v>511</v>
      </c>
      <c r="C1487" s="1374"/>
      <c r="D1487" s="1374" t="s">
        <v>509</v>
      </c>
      <c r="E1487" s="1375">
        <v>7.0000000000000007E-2</v>
      </c>
      <c r="F1487" s="1376">
        <f>F1468</f>
        <v>12500</v>
      </c>
      <c r="G1487" s="1376">
        <f t="shared" ref="G1487" si="146">E1487*F1487</f>
        <v>875.00000000000011</v>
      </c>
    </row>
    <row r="1488" spans="1:7" s="413" customFormat="1" ht="12" customHeight="1">
      <c r="A1488" s="918"/>
      <c r="B1488" s="930"/>
      <c r="C1488" s="940" t="s">
        <v>642</v>
      </c>
      <c r="D1488" s="941"/>
      <c r="E1488" s="942"/>
      <c r="F1488" s="943"/>
      <c r="G1488" s="944">
        <f>SUM(G1486:G1487)</f>
        <v>385875.00000000006</v>
      </c>
    </row>
    <row r="1489" spans="1:7" s="413" customFormat="1" ht="12" customHeight="1">
      <c r="A1489" s="918" t="s">
        <v>80</v>
      </c>
      <c r="B1489" s="919" t="s">
        <v>250</v>
      </c>
      <c r="C1489" s="937"/>
      <c r="D1489" s="946"/>
      <c r="E1489" s="947"/>
      <c r="F1489" s="948"/>
      <c r="G1489" s="926">
        <v>0</v>
      </c>
    </row>
    <row r="1490" spans="1:7" s="413" customFormat="1" ht="12" customHeight="1">
      <c r="A1490" s="960"/>
      <c r="B1490" s="961"/>
      <c r="C1490" s="962" t="s">
        <v>287</v>
      </c>
      <c r="D1490" s="941"/>
      <c r="E1490" s="942"/>
      <c r="F1490" s="943"/>
      <c r="G1490" s="944">
        <v>0</v>
      </c>
    </row>
    <row r="1491" spans="1:7" s="413" customFormat="1" ht="12" customHeight="1">
      <c r="A1491" s="963" t="s">
        <v>83</v>
      </c>
      <c r="B1491" s="964" t="s">
        <v>292</v>
      </c>
      <c r="C1491" s="965"/>
      <c r="D1491" s="915"/>
      <c r="E1491" s="966"/>
      <c r="F1491" s="967"/>
      <c r="G1491" s="968">
        <f>+G1490+G1488+G1484</f>
        <v>415404.00000000006</v>
      </c>
    </row>
    <row r="1492" spans="1:7" s="413" customFormat="1" ht="12" customHeight="1">
      <c r="A1492" s="963" t="s">
        <v>84</v>
      </c>
      <c r="B1492" s="969" t="s">
        <v>293</v>
      </c>
      <c r="C1492" s="912"/>
      <c r="D1492" s="915"/>
      <c r="E1492" s="970">
        <f>$I$2</f>
        <v>0.1</v>
      </c>
      <c r="F1492" s="967"/>
      <c r="G1492" s="968">
        <f>+G1491*E1492</f>
        <v>41540.400000000009</v>
      </c>
    </row>
    <row r="1493" spans="1:7" s="413" customFormat="1" ht="12" customHeight="1" thickBot="1">
      <c r="A1493" s="971" t="s">
        <v>85</v>
      </c>
      <c r="B1493" s="972" t="s">
        <v>86</v>
      </c>
      <c r="C1493" s="973"/>
      <c r="D1493" s="973"/>
      <c r="E1493" s="974"/>
      <c r="F1493" s="975"/>
      <c r="G1493" s="976">
        <f>+G1492+G1491</f>
        <v>456944.40000000008</v>
      </c>
    </row>
    <row r="1494" spans="1:7" ht="12" customHeight="1" thickTop="1">
      <c r="A1494" s="980"/>
      <c r="B1494" s="980"/>
      <c r="C1494" s="980"/>
      <c r="D1494" s="980"/>
      <c r="E1494" s="1356"/>
      <c r="F1494" s="980"/>
      <c r="G1494" s="1357"/>
    </row>
    <row r="1495" spans="1:7" ht="12" customHeight="1" thickBot="1">
      <c r="A1495" s="992" t="s">
        <v>513</v>
      </c>
      <c r="B1495" s="980"/>
      <c r="C1495" s="980"/>
      <c r="D1495" s="980"/>
      <c r="E1495" s="1356"/>
      <c r="F1495" s="980"/>
      <c r="G1495" s="1357"/>
    </row>
    <row r="1496" spans="1:7" ht="12" customHeight="1" thickTop="1">
      <c r="A1496" s="1797" t="s">
        <v>275</v>
      </c>
      <c r="B1496" s="1799" t="s">
        <v>295</v>
      </c>
      <c r="C1496" s="1799" t="s">
        <v>276</v>
      </c>
      <c r="D1496" s="1799" t="s">
        <v>277</v>
      </c>
      <c r="E1496" s="1801" t="s">
        <v>278</v>
      </c>
      <c r="F1496" s="916" t="s">
        <v>279</v>
      </c>
      <c r="G1496" s="916" t="s">
        <v>280</v>
      </c>
    </row>
    <row r="1497" spans="1:7" ht="12" customHeight="1">
      <c r="A1497" s="1798"/>
      <c r="B1497" s="1800"/>
      <c r="C1497" s="1800"/>
      <c r="D1497" s="1800"/>
      <c r="E1497" s="1802"/>
      <c r="F1497" s="917" t="s">
        <v>67</v>
      </c>
      <c r="G1497" s="917" t="s">
        <v>67</v>
      </c>
    </row>
    <row r="1498" spans="1:7" ht="12" customHeight="1">
      <c r="A1498" s="918" t="s">
        <v>68</v>
      </c>
      <c r="B1498" s="919" t="s">
        <v>298</v>
      </c>
      <c r="C1498" s="920"/>
      <c r="D1498" s="920"/>
      <c r="E1498" s="921"/>
      <c r="F1498" s="922"/>
      <c r="G1498" s="922"/>
    </row>
    <row r="1499" spans="1:7" ht="12" customHeight="1">
      <c r="A1499" s="918"/>
      <c r="B1499" s="923" t="s">
        <v>69</v>
      </c>
      <c r="C1499" s="924" t="s">
        <v>70</v>
      </c>
      <c r="D1499" s="924" t="s">
        <v>71</v>
      </c>
      <c r="E1499" s="1155">
        <v>0.2</v>
      </c>
      <c r="F1499" s="926">
        <f>Upah!$F$26</f>
        <v>130000</v>
      </c>
      <c r="G1499" s="926">
        <f>+F1499*E1499</f>
        <v>26000</v>
      </c>
    </row>
    <row r="1500" spans="1:7" ht="12" customHeight="1">
      <c r="A1500" s="918"/>
      <c r="B1500" s="1164" t="s">
        <v>57</v>
      </c>
      <c r="C1500" s="993" t="s">
        <v>72</v>
      </c>
      <c r="D1500" s="993" t="s">
        <v>71</v>
      </c>
      <c r="E1500" s="1155">
        <v>0.1</v>
      </c>
      <c r="F1500" s="995">
        <f>Upah!$F$18</f>
        <v>140000</v>
      </c>
      <c r="G1500" s="926">
        <f t="shared" ref="G1500:G1501" si="147">+F1500*E1500</f>
        <v>14000</v>
      </c>
    </row>
    <row r="1501" spans="1:7" ht="12" customHeight="1">
      <c r="A1501" s="918"/>
      <c r="B1501" s="923" t="s">
        <v>73</v>
      </c>
      <c r="C1501" s="993" t="s">
        <v>74</v>
      </c>
      <c r="D1501" s="993" t="s">
        <v>71</v>
      </c>
      <c r="E1501" s="1155">
        <v>0.01</v>
      </c>
      <c r="F1501" s="995">
        <f>Upah!$F$10</f>
        <v>150000</v>
      </c>
      <c r="G1501" s="926">
        <f t="shared" si="147"/>
        <v>1500</v>
      </c>
    </row>
    <row r="1502" spans="1:7" ht="12" customHeight="1">
      <c r="A1502" s="918"/>
      <c r="B1502" s="923" t="s">
        <v>50</v>
      </c>
      <c r="C1502" s="927" t="s">
        <v>75</v>
      </c>
      <c r="D1502" s="927" t="s">
        <v>71</v>
      </c>
      <c r="E1502" s="1156">
        <v>3.3E-3</v>
      </c>
      <c r="F1502" s="929">
        <f>Upah!$F$8</f>
        <v>170000</v>
      </c>
      <c r="G1502" s="929">
        <f>+F1502*E1502</f>
        <v>561</v>
      </c>
    </row>
    <row r="1503" spans="1:7" ht="12" customHeight="1">
      <c r="A1503" s="918"/>
      <c r="B1503" s="930"/>
      <c r="C1503" s="931" t="s">
        <v>632</v>
      </c>
      <c r="D1503" s="932"/>
      <c r="E1503" s="933"/>
      <c r="F1503" s="934"/>
      <c r="G1503" s="935">
        <f>SUM(G1499:G1502)</f>
        <v>42061</v>
      </c>
    </row>
    <row r="1504" spans="1:7" ht="12" customHeight="1">
      <c r="A1504" s="918" t="s">
        <v>77</v>
      </c>
      <c r="B1504" s="945" t="s">
        <v>299</v>
      </c>
      <c r="C1504" s="946"/>
      <c r="D1504" s="946"/>
      <c r="E1504" s="947"/>
      <c r="F1504" s="948"/>
      <c r="G1504" s="948"/>
    </row>
    <row r="1505" spans="1:7" ht="12" customHeight="1">
      <c r="A1505" s="1170"/>
      <c r="B1505" s="1369" t="s">
        <v>512</v>
      </c>
      <c r="C1505" s="1370"/>
      <c r="D1505" s="1370" t="s">
        <v>357</v>
      </c>
      <c r="E1505" s="1371">
        <v>1.1000000000000001</v>
      </c>
      <c r="F1505" s="1160">
        <f>Bahan!E182</f>
        <v>420000</v>
      </c>
      <c r="G1505" s="1160">
        <f t="shared" ref="G1505" si="148">+F1505*E1505</f>
        <v>462000.00000000006</v>
      </c>
    </row>
    <row r="1506" spans="1:7" ht="12" customHeight="1">
      <c r="A1506" s="1372"/>
      <c r="B1506" s="1373" t="s">
        <v>511</v>
      </c>
      <c r="C1506" s="1374"/>
      <c r="D1506" s="1374" t="s">
        <v>509</v>
      </c>
      <c r="E1506" s="1375">
        <v>0.14299999999999999</v>
      </c>
      <c r="F1506" s="1376">
        <f>F1487</f>
        <v>12500</v>
      </c>
      <c r="G1506" s="1376">
        <f t="shared" ref="G1506" si="149">E1506*F1506</f>
        <v>1787.4999999999998</v>
      </c>
    </row>
    <row r="1507" spans="1:7" ht="12" customHeight="1">
      <c r="A1507" s="918"/>
      <c r="B1507" s="930"/>
      <c r="C1507" s="940" t="s">
        <v>642</v>
      </c>
      <c r="D1507" s="941"/>
      <c r="E1507" s="942"/>
      <c r="F1507" s="943"/>
      <c r="G1507" s="944">
        <f>SUM(G1505:G1506)</f>
        <v>463787.50000000006</v>
      </c>
    </row>
    <row r="1508" spans="1:7" ht="12" customHeight="1">
      <c r="A1508" s="918" t="s">
        <v>80</v>
      </c>
      <c r="B1508" s="919" t="s">
        <v>250</v>
      </c>
      <c r="C1508" s="937"/>
      <c r="D1508" s="946"/>
      <c r="E1508" s="947"/>
      <c r="F1508" s="948"/>
      <c r="G1508" s="926">
        <v>0</v>
      </c>
    </row>
    <row r="1509" spans="1:7" ht="12" customHeight="1">
      <c r="A1509" s="960"/>
      <c r="B1509" s="961"/>
      <c r="C1509" s="962" t="s">
        <v>287</v>
      </c>
      <c r="D1509" s="941"/>
      <c r="E1509" s="942"/>
      <c r="F1509" s="943"/>
      <c r="G1509" s="944">
        <v>0</v>
      </c>
    </row>
    <row r="1510" spans="1:7" ht="12" customHeight="1">
      <c r="A1510" s="963" t="s">
        <v>83</v>
      </c>
      <c r="B1510" s="964" t="s">
        <v>292</v>
      </c>
      <c r="C1510" s="965"/>
      <c r="D1510" s="915"/>
      <c r="E1510" s="966"/>
      <c r="F1510" s="967"/>
      <c r="G1510" s="968">
        <f>+G1509+G1507+G1503</f>
        <v>505848.50000000006</v>
      </c>
    </row>
    <row r="1511" spans="1:7" ht="12" customHeight="1">
      <c r="A1511" s="963" t="s">
        <v>84</v>
      </c>
      <c r="B1511" s="969" t="s">
        <v>293</v>
      </c>
      <c r="C1511" s="912"/>
      <c r="D1511" s="915"/>
      <c r="E1511" s="970">
        <f>$I$2</f>
        <v>0.1</v>
      </c>
      <c r="F1511" s="967"/>
      <c r="G1511" s="968">
        <f>+G1510*E1511</f>
        <v>50584.850000000006</v>
      </c>
    </row>
    <row r="1512" spans="1:7" ht="12" customHeight="1" thickBot="1">
      <c r="A1512" s="971" t="s">
        <v>85</v>
      </c>
      <c r="B1512" s="972" t="s">
        <v>86</v>
      </c>
      <c r="C1512" s="973"/>
      <c r="D1512" s="973"/>
      <c r="E1512" s="974"/>
      <c r="F1512" s="975"/>
      <c r="G1512" s="976">
        <f>+G1511+G1510</f>
        <v>556433.35000000009</v>
      </c>
    </row>
    <row r="1513" spans="1:7" ht="12" customHeight="1" thickTop="1">
      <c r="A1513" s="980"/>
      <c r="B1513" s="980"/>
      <c r="C1513" s="980"/>
      <c r="D1513" s="980"/>
      <c r="E1513" s="1356"/>
      <c r="F1513" s="980"/>
      <c r="G1513" s="1357"/>
    </row>
    <row r="1514" spans="1:7" ht="12" customHeight="1">
      <c r="A1514" s="1377" t="s">
        <v>696</v>
      </c>
      <c r="B1514" s="1378"/>
      <c r="C1514" s="1378"/>
      <c r="D1514" s="1379"/>
      <c r="E1514" s="1380"/>
      <c r="F1514" s="1378"/>
      <c r="G1514" s="1381"/>
    </row>
    <row r="1515" spans="1:7" s="105" customFormat="1" ht="12" customHeight="1" thickBot="1">
      <c r="A1515" s="1377" t="s">
        <v>760</v>
      </c>
      <c r="B1515" s="1378"/>
      <c r="C1515" s="1378"/>
      <c r="D1515" s="1379"/>
      <c r="E1515" s="1380"/>
      <c r="F1515" s="1378"/>
      <c r="G1515" s="1381"/>
    </row>
    <row r="1516" spans="1:7" ht="12" customHeight="1" thickTop="1">
      <c r="A1516" s="1797" t="s">
        <v>275</v>
      </c>
      <c r="B1516" s="1799" t="s">
        <v>295</v>
      </c>
      <c r="C1516" s="1799" t="s">
        <v>276</v>
      </c>
      <c r="D1516" s="1799" t="s">
        <v>277</v>
      </c>
      <c r="E1516" s="1801" t="s">
        <v>278</v>
      </c>
      <c r="F1516" s="916" t="s">
        <v>279</v>
      </c>
      <c r="G1516" s="916" t="s">
        <v>280</v>
      </c>
    </row>
    <row r="1517" spans="1:7" ht="12" customHeight="1">
      <c r="A1517" s="1798"/>
      <c r="B1517" s="1800"/>
      <c r="C1517" s="1800"/>
      <c r="D1517" s="1800"/>
      <c r="E1517" s="1802"/>
      <c r="F1517" s="917" t="s">
        <v>67</v>
      </c>
      <c r="G1517" s="917" t="s">
        <v>67</v>
      </c>
    </row>
    <row r="1518" spans="1:7" ht="12" customHeight="1">
      <c r="A1518" s="1382" t="s">
        <v>262</v>
      </c>
      <c r="B1518" s="1383" t="s">
        <v>267</v>
      </c>
      <c r="C1518" s="1382"/>
      <c r="D1518" s="1382"/>
      <c r="E1518" s="1384"/>
      <c r="F1518" s="1385"/>
      <c r="G1518" s="1386"/>
    </row>
    <row r="1519" spans="1:7" ht="12" customHeight="1">
      <c r="A1519" s="1387">
        <v>1</v>
      </c>
      <c r="B1519" s="1388" t="s">
        <v>69</v>
      </c>
      <c r="C1519" s="1389" t="s">
        <v>70</v>
      </c>
      <c r="D1519" s="1389" t="s">
        <v>71</v>
      </c>
      <c r="E1519" s="1390">
        <v>0.5</v>
      </c>
      <c r="F1519" s="1376">
        <f>Upah!$F$26</f>
        <v>130000</v>
      </c>
      <c r="G1519" s="1376">
        <f>E1519*F1519</f>
        <v>65000</v>
      </c>
    </row>
    <row r="1520" spans="1:7" ht="12" customHeight="1">
      <c r="A1520" s="1387">
        <v>2</v>
      </c>
      <c r="B1520" s="1388" t="s">
        <v>54</v>
      </c>
      <c r="C1520" s="1389" t="s">
        <v>72</v>
      </c>
      <c r="D1520" s="1389" t="s">
        <v>71</v>
      </c>
      <c r="E1520" s="1390">
        <v>1.2</v>
      </c>
      <c r="F1520" s="1376">
        <f>Upah!$F$17</f>
        <v>140000</v>
      </c>
      <c r="G1520" s="1376">
        <f>E1520*F1520</f>
        <v>168000</v>
      </c>
    </row>
    <row r="1521" spans="1:7" ht="12" customHeight="1">
      <c r="A1521" s="1387">
        <v>3</v>
      </c>
      <c r="B1521" s="1388" t="s">
        <v>73</v>
      </c>
      <c r="C1521" s="1389" t="s">
        <v>74</v>
      </c>
      <c r="D1521" s="1389" t="s">
        <v>71</v>
      </c>
      <c r="E1521" s="1390">
        <v>0.12</v>
      </c>
      <c r="F1521" s="1376">
        <f>Upah!$F$10</f>
        <v>150000</v>
      </c>
      <c r="G1521" s="1376">
        <f>E1521*F1521</f>
        <v>18000</v>
      </c>
    </row>
    <row r="1522" spans="1:7" ht="12" customHeight="1">
      <c r="A1522" s="1391">
        <v>4</v>
      </c>
      <c r="B1522" s="1392" t="s">
        <v>50</v>
      </c>
      <c r="C1522" s="1393" t="s">
        <v>75</v>
      </c>
      <c r="D1522" s="1393" t="s">
        <v>71</v>
      </c>
      <c r="E1522" s="1394">
        <v>0.04</v>
      </c>
      <c r="F1522" s="1395">
        <f>Upah!$F$8</f>
        <v>170000</v>
      </c>
      <c r="G1522" s="1395">
        <f>E1522*F1522</f>
        <v>6800</v>
      </c>
    </row>
    <row r="1523" spans="1:7" s="48" customFormat="1" ht="12" customHeight="1">
      <c r="A1523" s="1396" t="s">
        <v>553</v>
      </c>
      <c r="B1523" s="1397"/>
      <c r="C1523" s="1397"/>
      <c r="D1523" s="1398"/>
      <c r="E1523" s="1399"/>
      <c r="F1523" s="1400"/>
      <c r="G1523" s="1401">
        <f>SUM(G1519:G1522)</f>
        <v>257800</v>
      </c>
    </row>
    <row r="1524" spans="1:7" s="48" customFormat="1" ht="12" customHeight="1">
      <c r="A1524" s="1402" t="s">
        <v>263</v>
      </c>
      <c r="B1524" s="1403" t="s">
        <v>78</v>
      </c>
      <c r="C1524" s="1402"/>
      <c r="D1524" s="1402"/>
      <c r="E1524" s="1404"/>
      <c r="F1524" s="1405"/>
      <c r="G1524" s="1405"/>
    </row>
    <row r="1525" spans="1:7" s="48" customFormat="1" ht="12" customHeight="1">
      <c r="A1525" s="1387">
        <v>1</v>
      </c>
      <c r="B1525" s="1388" t="s">
        <v>761</v>
      </c>
      <c r="C1525" s="1389"/>
      <c r="D1525" s="1389" t="s">
        <v>273</v>
      </c>
      <c r="E1525" s="1390">
        <v>1</v>
      </c>
      <c r="F1525" s="1376">
        <f>Bahan!E268</f>
        <v>2450000</v>
      </c>
      <c r="G1525" s="1376">
        <f t="shared" ref="G1525:G1526" si="150">E1525*F1525</f>
        <v>2450000</v>
      </c>
    </row>
    <row r="1526" spans="1:7" s="48" customFormat="1" ht="12" customHeight="1">
      <c r="A1526" s="1391">
        <v>2</v>
      </c>
      <c r="B1526" s="1392" t="s">
        <v>623</v>
      </c>
      <c r="C1526" s="1393"/>
      <c r="D1526" s="1393" t="s">
        <v>273</v>
      </c>
      <c r="E1526" s="1394">
        <v>1</v>
      </c>
      <c r="F1526" s="1395">
        <f>Bahan!E281</f>
        <v>400000</v>
      </c>
      <c r="G1526" s="1395">
        <f t="shared" si="150"/>
        <v>400000</v>
      </c>
    </row>
    <row r="1527" spans="1:7" s="48" customFormat="1" ht="12" customHeight="1">
      <c r="A1527" s="1396" t="s">
        <v>79</v>
      </c>
      <c r="B1527" s="1397"/>
      <c r="C1527" s="1397"/>
      <c r="D1527" s="1398"/>
      <c r="E1527" s="1399"/>
      <c r="F1527" s="1400"/>
      <c r="G1527" s="1401">
        <f>SUM(G1525:G1526)</f>
        <v>2850000</v>
      </c>
    </row>
    <row r="1528" spans="1:7" s="48" customFormat="1" ht="12" customHeight="1">
      <c r="A1528" s="1358" t="s">
        <v>264</v>
      </c>
      <c r="B1528" s="1359" t="s">
        <v>81</v>
      </c>
      <c r="C1528" s="1358"/>
      <c r="D1528" s="1358"/>
      <c r="E1528" s="1406"/>
      <c r="F1528" s="1361"/>
      <c r="G1528" s="1361"/>
    </row>
    <row r="1529" spans="1:7" s="48" customFormat="1" ht="12" customHeight="1">
      <c r="A1529" s="1358"/>
      <c r="B1529" s="1359"/>
      <c r="C1529" s="1358"/>
      <c r="D1529" s="1358"/>
      <c r="E1529" s="1406"/>
      <c r="F1529" s="1361"/>
      <c r="G1529" s="1361"/>
    </row>
    <row r="1530" spans="1:7" s="48" customFormat="1" ht="12" customHeight="1">
      <c r="A1530" s="1396" t="s">
        <v>82</v>
      </c>
      <c r="B1530" s="1397"/>
      <c r="C1530" s="1397"/>
      <c r="D1530" s="1398"/>
      <c r="E1530" s="1399"/>
      <c r="F1530" s="1400"/>
      <c r="G1530" s="1401">
        <f>SUM(G1529)</f>
        <v>0</v>
      </c>
    </row>
    <row r="1531" spans="1:7" s="48" customFormat="1" ht="12" customHeight="1">
      <c r="A1531" s="1407" t="s">
        <v>281</v>
      </c>
      <c r="B1531" s="1408" t="s">
        <v>292</v>
      </c>
      <c r="C1531" s="1408"/>
      <c r="D1531" s="1407"/>
      <c r="E1531" s="1409"/>
      <c r="F1531" s="1410"/>
      <c r="G1531" s="1411">
        <f>G1523+G1527+G1530</f>
        <v>3107800</v>
      </c>
    </row>
    <row r="1532" spans="1:7" s="48" customFormat="1" ht="12" customHeight="1">
      <c r="A1532" s="1412" t="s">
        <v>90</v>
      </c>
      <c r="B1532" s="1413" t="s">
        <v>293</v>
      </c>
      <c r="C1532" s="992"/>
      <c r="D1532" s="1414"/>
      <c r="E1532" s="970">
        <f>$I$2</f>
        <v>0.1</v>
      </c>
      <c r="F1532" s="967"/>
      <c r="G1532" s="968">
        <f>+G1531*E1532</f>
        <v>310780</v>
      </c>
    </row>
    <row r="1533" spans="1:7" s="48" customFormat="1" ht="12" customHeight="1">
      <c r="A1533" s="1415" t="s">
        <v>94</v>
      </c>
      <c r="B1533" s="1416" t="s">
        <v>86</v>
      </c>
      <c r="C1533" s="1416"/>
      <c r="D1533" s="1417"/>
      <c r="E1533" s="1418"/>
      <c r="F1533" s="1419"/>
      <c r="G1533" s="1420">
        <f>G1531+G1532</f>
        <v>3418580</v>
      </c>
    </row>
    <row r="1534" spans="1:7" s="48" customFormat="1" ht="13.5" customHeight="1">
      <c r="A1534" s="980"/>
      <c r="B1534" s="980"/>
      <c r="C1534" s="980"/>
      <c r="D1534" s="980"/>
      <c r="E1534" s="1356"/>
      <c r="F1534" s="1357"/>
      <c r="G1534" s="1357"/>
    </row>
    <row r="1535" spans="1:7" s="111" customFormat="1" ht="13.5" customHeight="1">
      <c r="A1535" s="980"/>
      <c r="B1535" s="980"/>
      <c r="C1535" s="980"/>
      <c r="D1535" s="980"/>
      <c r="E1535" s="1356"/>
      <c r="F1535" s="1357"/>
      <c r="G1535" s="1357"/>
    </row>
    <row r="1536" spans="1:7" s="111" customFormat="1" ht="13.5" customHeight="1">
      <c r="A1536" s="980"/>
      <c r="B1536" s="980"/>
      <c r="C1536" s="980"/>
      <c r="D1536" s="980"/>
      <c r="E1536" s="1356"/>
      <c r="F1536" s="1357"/>
      <c r="G1536" s="1357"/>
    </row>
    <row r="1537" spans="1:13" s="111" customFormat="1" ht="13.5" customHeight="1">
      <c r="A1537" s="980"/>
      <c r="B1537" s="980"/>
      <c r="C1537" s="980"/>
      <c r="D1537" s="980"/>
      <c r="E1537" s="1356"/>
      <c r="F1537" s="1357"/>
      <c r="G1537" s="1357"/>
    </row>
    <row r="1538" spans="1:13" ht="12.75" customHeight="1" thickBot="1">
      <c r="A1538" s="1377" t="s">
        <v>763</v>
      </c>
      <c r="B1538" s="1378"/>
      <c r="C1538" s="1378"/>
      <c r="D1538" s="1379"/>
      <c r="E1538" s="1380"/>
      <c r="F1538" s="1381"/>
      <c r="G1538" s="1381"/>
    </row>
    <row r="1539" spans="1:13" ht="12.75" customHeight="1" thickTop="1">
      <c r="A1539" s="1797" t="s">
        <v>275</v>
      </c>
      <c r="B1539" s="1799" t="s">
        <v>295</v>
      </c>
      <c r="C1539" s="1799" t="s">
        <v>276</v>
      </c>
      <c r="D1539" s="1799" t="s">
        <v>277</v>
      </c>
      <c r="E1539" s="1801" t="s">
        <v>278</v>
      </c>
      <c r="F1539" s="916" t="s">
        <v>279</v>
      </c>
      <c r="G1539" s="916" t="s">
        <v>280</v>
      </c>
    </row>
    <row r="1540" spans="1:13" ht="12.75" customHeight="1">
      <c r="A1540" s="1798"/>
      <c r="B1540" s="1800"/>
      <c r="C1540" s="1800"/>
      <c r="D1540" s="1800"/>
      <c r="E1540" s="1802"/>
      <c r="F1540" s="917" t="s">
        <v>67</v>
      </c>
      <c r="G1540" s="917" t="s">
        <v>67</v>
      </c>
    </row>
    <row r="1541" spans="1:13" ht="12.75" customHeight="1">
      <c r="A1541" s="1358" t="s">
        <v>262</v>
      </c>
      <c r="B1541" s="1359" t="s">
        <v>267</v>
      </c>
      <c r="C1541" s="1358"/>
      <c r="D1541" s="1358"/>
      <c r="E1541" s="1406"/>
      <c r="F1541" s="1361"/>
      <c r="G1541" s="1361"/>
    </row>
    <row r="1542" spans="1:13" ht="12.75" customHeight="1">
      <c r="A1542" s="1421">
        <v>1</v>
      </c>
      <c r="B1542" s="1359" t="s">
        <v>69</v>
      </c>
      <c r="C1542" s="1358" t="s">
        <v>70</v>
      </c>
      <c r="D1542" s="1358" t="s">
        <v>71</v>
      </c>
      <c r="E1542" s="1406">
        <v>1</v>
      </c>
      <c r="F1542" s="1376">
        <f>Upah!$F$26</f>
        <v>130000</v>
      </c>
      <c r="G1542" s="1376">
        <f>E1542*F1542</f>
        <v>130000</v>
      </c>
    </row>
    <row r="1543" spans="1:13" ht="12.75" customHeight="1">
      <c r="A1543" s="1421">
        <v>2</v>
      </c>
      <c r="B1543" s="1359" t="s">
        <v>54</v>
      </c>
      <c r="C1543" s="1358" t="s">
        <v>72</v>
      </c>
      <c r="D1543" s="1358" t="s">
        <v>71</v>
      </c>
      <c r="E1543" s="1406">
        <v>1</v>
      </c>
      <c r="F1543" s="1376">
        <f>Upah!$F$17</f>
        <v>140000</v>
      </c>
      <c r="G1543" s="1376">
        <f>E1543*F1543</f>
        <v>140000</v>
      </c>
    </row>
    <row r="1544" spans="1:13" ht="12.75" customHeight="1">
      <c r="A1544" s="1421">
        <v>3</v>
      </c>
      <c r="B1544" s="1359" t="s">
        <v>73</v>
      </c>
      <c r="C1544" s="1358" t="s">
        <v>74</v>
      </c>
      <c r="D1544" s="1358" t="s">
        <v>71</v>
      </c>
      <c r="E1544" s="1406">
        <v>0.1</v>
      </c>
      <c r="F1544" s="1376">
        <f>Upah!$F$10</f>
        <v>150000</v>
      </c>
      <c r="G1544" s="1376">
        <f>E1544*F1544</f>
        <v>15000</v>
      </c>
    </row>
    <row r="1545" spans="1:13" ht="12.75" customHeight="1">
      <c r="A1545" s="1421">
        <v>4</v>
      </c>
      <c r="B1545" s="1359" t="s">
        <v>50</v>
      </c>
      <c r="C1545" s="1358" t="s">
        <v>75</v>
      </c>
      <c r="D1545" s="1358" t="s">
        <v>71</v>
      </c>
      <c r="E1545" s="1406">
        <v>3.3300000000000003E-2</v>
      </c>
      <c r="F1545" s="1376">
        <f>Upah!$F$8</f>
        <v>170000</v>
      </c>
      <c r="G1545" s="1376">
        <f>E1545*F1545</f>
        <v>5661.0000000000009</v>
      </c>
    </row>
    <row r="1546" spans="1:13" ht="12.75" customHeight="1">
      <c r="A1546" s="1396" t="s">
        <v>553</v>
      </c>
      <c r="B1546" s="1397"/>
      <c r="C1546" s="1397"/>
      <c r="D1546" s="1398"/>
      <c r="E1546" s="1399"/>
      <c r="F1546" s="1400"/>
      <c r="G1546" s="1401">
        <f>SUM(G1542:G1545)</f>
        <v>290661</v>
      </c>
    </row>
    <row r="1547" spans="1:13" ht="12.75" customHeight="1">
      <c r="A1547" s="1358" t="s">
        <v>263</v>
      </c>
      <c r="B1547" s="1359" t="s">
        <v>78</v>
      </c>
      <c r="C1547" s="1358"/>
      <c r="D1547" s="1358"/>
      <c r="E1547" s="1406"/>
      <c r="F1547" s="1361"/>
      <c r="G1547" s="1361"/>
    </row>
    <row r="1548" spans="1:13" ht="12.75" customHeight="1">
      <c r="A1548" s="1421">
        <v>1</v>
      </c>
      <c r="B1548" s="1359" t="s">
        <v>764</v>
      </c>
      <c r="C1548" s="1358"/>
      <c r="D1548" s="1358" t="s">
        <v>273</v>
      </c>
      <c r="E1548" s="1406">
        <v>1</v>
      </c>
      <c r="F1548" s="1376">
        <f>Bahan!E277</f>
        <v>2097900</v>
      </c>
      <c r="G1548" s="1376">
        <f t="shared" ref="G1548:G1550" si="151">E1548*F1548</f>
        <v>2097900</v>
      </c>
      <c r="H1548">
        <v>1.65</v>
      </c>
      <c r="I1548">
        <v>114000</v>
      </c>
      <c r="J1548">
        <v>188100</v>
      </c>
      <c r="K1548">
        <v>1</v>
      </c>
      <c r="L1548">
        <v>188100</v>
      </c>
      <c r="M1548">
        <v>0</v>
      </c>
    </row>
    <row r="1549" spans="1:13" ht="12.75" customHeight="1">
      <c r="A1549" s="1421">
        <v>2</v>
      </c>
      <c r="B1549" s="1359" t="s">
        <v>87</v>
      </c>
      <c r="C1549" s="1358"/>
      <c r="D1549" s="1358" t="s">
        <v>268</v>
      </c>
      <c r="E1549" s="1406">
        <v>6</v>
      </c>
      <c r="F1549" s="1376">
        <f>F272</f>
        <v>1450</v>
      </c>
      <c r="G1549" s="1376">
        <f t="shared" si="151"/>
        <v>8700</v>
      </c>
      <c r="H1549">
        <v>0.25</v>
      </c>
      <c r="I1549">
        <v>116000</v>
      </c>
      <c r="J1549">
        <v>29000</v>
      </c>
      <c r="K1549">
        <v>1</v>
      </c>
      <c r="L1549">
        <v>29000</v>
      </c>
      <c r="M1549">
        <v>0</v>
      </c>
    </row>
    <row r="1550" spans="1:13" ht="12.75" customHeight="1">
      <c r="A1550" s="1421">
        <v>3</v>
      </c>
      <c r="B1550" s="1359" t="s">
        <v>88</v>
      </c>
      <c r="C1550" s="1358"/>
      <c r="D1550" s="1358" t="s">
        <v>270</v>
      </c>
      <c r="E1550" s="1406">
        <v>0.01</v>
      </c>
      <c r="F1550" s="1376">
        <f>F443</f>
        <v>270000</v>
      </c>
      <c r="G1550" s="1376">
        <f t="shared" si="151"/>
        <v>2700</v>
      </c>
      <c r="H1550">
        <v>2.5000000000000001E-2</v>
      </c>
      <c r="I1550">
        <v>121000</v>
      </c>
      <c r="J1550">
        <v>3025</v>
      </c>
      <c r="K1550">
        <v>1</v>
      </c>
      <c r="L1550">
        <v>3025</v>
      </c>
      <c r="M1550">
        <v>0</v>
      </c>
    </row>
    <row r="1551" spans="1:13" ht="12.75" customHeight="1">
      <c r="A1551" s="1396" t="s">
        <v>79</v>
      </c>
      <c r="B1551" s="1397"/>
      <c r="C1551" s="1397"/>
      <c r="D1551" s="1398"/>
      <c r="E1551" s="1399"/>
      <c r="F1551" s="1400"/>
      <c r="G1551" s="1401">
        <f>SUM(G1548:G1550)</f>
        <v>2109300</v>
      </c>
      <c r="H1551">
        <v>0.08</v>
      </c>
      <c r="I1551">
        <v>147000</v>
      </c>
      <c r="J1551">
        <v>11760</v>
      </c>
      <c r="K1551">
        <v>1</v>
      </c>
      <c r="L1551">
        <v>11760</v>
      </c>
      <c r="M1551">
        <v>0</v>
      </c>
    </row>
    <row r="1552" spans="1:13" ht="12.75" customHeight="1">
      <c r="A1552" s="1358" t="s">
        <v>264</v>
      </c>
      <c r="B1552" s="1359" t="s">
        <v>81</v>
      </c>
      <c r="C1552" s="1358"/>
      <c r="D1552" s="1358"/>
      <c r="E1552" s="1406"/>
      <c r="F1552" s="1361"/>
      <c r="G1552" s="1361"/>
      <c r="J1552">
        <v>231885</v>
      </c>
      <c r="L1552">
        <v>231885</v>
      </c>
      <c r="M1552">
        <v>0</v>
      </c>
    </row>
    <row r="1553" spans="1:13" ht="12.75" customHeight="1">
      <c r="A1553" s="1358"/>
      <c r="B1553" s="1359"/>
      <c r="C1553" s="1358"/>
      <c r="D1553" s="1358"/>
      <c r="E1553" s="1406"/>
      <c r="F1553" s="1361"/>
      <c r="G1553" s="1361"/>
    </row>
    <row r="1554" spans="1:13" ht="12.75" customHeight="1">
      <c r="A1554" s="1396" t="s">
        <v>82</v>
      </c>
      <c r="B1554" s="1397"/>
      <c r="C1554" s="1397"/>
      <c r="D1554" s="1398"/>
      <c r="E1554" s="1399"/>
      <c r="F1554" s="1400"/>
      <c r="G1554" s="1401">
        <f>SUM(G1553)</f>
        <v>0</v>
      </c>
      <c r="H1554">
        <v>230.4</v>
      </c>
      <c r="I1554">
        <v>1533</v>
      </c>
      <c r="J1554">
        <v>353203.20000000001</v>
      </c>
      <c r="K1554">
        <v>0.82</v>
      </c>
      <c r="L1554">
        <v>289626.62400000001</v>
      </c>
      <c r="M1554">
        <v>63576.576000000001</v>
      </c>
    </row>
    <row r="1555" spans="1:13" ht="12.75" customHeight="1">
      <c r="A1555" s="1407" t="s">
        <v>281</v>
      </c>
      <c r="B1555" s="1408" t="s">
        <v>292</v>
      </c>
      <c r="C1555" s="1408"/>
      <c r="D1555" s="1407"/>
      <c r="E1555" s="1409"/>
      <c r="F1555" s="1410"/>
      <c r="G1555" s="1411">
        <f>G1546+G1551+G1554</f>
        <v>2399961</v>
      </c>
      <c r="H1555">
        <v>0.52</v>
      </c>
      <c r="I1555">
        <v>300000</v>
      </c>
      <c r="J1555">
        <v>156000</v>
      </c>
      <c r="K1555">
        <v>1</v>
      </c>
      <c r="L1555">
        <v>156000</v>
      </c>
      <c r="M1555">
        <v>0</v>
      </c>
    </row>
    <row r="1556" spans="1:13" ht="12.75" customHeight="1">
      <c r="A1556" s="1412" t="s">
        <v>90</v>
      </c>
      <c r="B1556" s="1413" t="s">
        <v>293</v>
      </c>
      <c r="C1556" s="992"/>
      <c r="D1556" s="1414"/>
      <c r="E1556" s="970">
        <f>$I$2</f>
        <v>0.1</v>
      </c>
      <c r="F1556" s="967"/>
      <c r="G1556" s="968">
        <f>+G1555*E1556</f>
        <v>239996.1</v>
      </c>
      <c r="H1556">
        <v>0.78</v>
      </c>
      <c r="I1556">
        <v>290000</v>
      </c>
      <c r="J1556">
        <v>226200</v>
      </c>
      <c r="K1556">
        <v>1</v>
      </c>
      <c r="L1556">
        <v>226200</v>
      </c>
      <c r="M1556">
        <v>0</v>
      </c>
    </row>
    <row r="1557" spans="1:13" ht="12.75" customHeight="1">
      <c r="A1557" s="1415" t="s">
        <v>94</v>
      </c>
      <c r="B1557" s="1416" t="s">
        <v>86</v>
      </c>
      <c r="C1557" s="1416"/>
      <c r="D1557" s="1417"/>
      <c r="E1557" s="1418"/>
      <c r="F1557" s="1419"/>
      <c r="G1557" s="1420">
        <f>G1555+G1556</f>
        <v>2639957.1</v>
      </c>
      <c r="J1557">
        <v>735403.2</v>
      </c>
      <c r="L1557">
        <v>671826.62400000007</v>
      </c>
      <c r="M1557">
        <v>63576.576000000001</v>
      </c>
    </row>
    <row r="1558" spans="1:13" ht="7.5" customHeight="1">
      <c r="A1558" s="980"/>
      <c r="B1558" s="980"/>
      <c r="C1558" s="980"/>
      <c r="D1558" s="980"/>
      <c r="E1558" s="1356"/>
      <c r="F1558" s="1357"/>
      <c r="G1558" s="1357"/>
    </row>
    <row r="1559" spans="1:13" ht="12.75" customHeight="1" thickBot="1">
      <c r="A1559" s="1377" t="s">
        <v>624</v>
      </c>
      <c r="B1559" s="1378"/>
      <c r="C1559" s="1378"/>
      <c r="D1559" s="1379"/>
      <c r="E1559" s="1380"/>
      <c r="F1559" s="1381"/>
      <c r="G1559" s="1381"/>
      <c r="J1559">
        <v>967288.2</v>
      </c>
      <c r="L1559">
        <v>903711.62400000007</v>
      </c>
      <c r="M1559">
        <v>63576.576000000001</v>
      </c>
    </row>
    <row r="1560" spans="1:13" ht="12.75" customHeight="1" thickTop="1">
      <c r="A1560" s="1797" t="s">
        <v>275</v>
      </c>
      <c r="B1560" s="1799" t="s">
        <v>295</v>
      </c>
      <c r="C1560" s="1799" t="s">
        <v>276</v>
      </c>
      <c r="D1560" s="1799" t="s">
        <v>277</v>
      </c>
      <c r="E1560" s="1801" t="s">
        <v>278</v>
      </c>
      <c r="F1560" s="916" t="s">
        <v>279</v>
      </c>
      <c r="G1560" s="916" t="s">
        <v>280</v>
      </c>
      <c r="I1560">
        <v>0.1</v>
      </c>
      <c r="J1560">
        <v>96728.82</v>
      </c>
      <c r="K1560">
        <v>0.1</v>
      </c>
      <c r="L1560">
        <v>90371.162400000016</v>
      </c>
      <c r="M1560">
        <v>6357.6576000000005</v>
      </c>
    </row>
    <row r="1561" spans="1:13" ht="12.75" customHeight="1">
      <c r="A1561" s="1798"/>
      <c r="B1561" s="1800"/>
      <c r="C1561" s="1800"/>
      <c r="D1561" s="1800"/>
      <c r="E1561" s="1802"/>
      <c r="F1561" s="917" t="s">
        <v>67</v>
      </c>
      <c r="G1561" s="917" t="s">
        <v>67</v>
      </c>
      <c r="J1561">
        <v>1064017.02</v>
      </c>
      <c r="K1561">
        <v>0.9342733882208013</v>
      </c>
      <c r="L1561">
        <v>994082.7864000001</v>
      </c>
      <c r="M1561">
        <v>69934.233600000007</v>
      </c>
    </row>
    <row r="1562" spans="1:13" ht="12.75" customHeight="1">
      <c r="A1562" s="1358" t="s">
        <v>262</v>
      </c>
      <c r="B1562" s="1359" t="s">
        <v>267</v>
      </c>
      <c r="C1562" s="1358"/>
      <c r="D1562" s="1358"/>
      <c r="E1562" s="1406"/>
      <c r="F1562" s="1361"/>
      <c r="G1562" s="1361"/>
    </row>
    <row r="1563" spans="1:13" ht="12.75" customHeight="1">
      <c r="A1563" s="1421">
        <v>1</v>
      </c>
      <c r="B1563" s="1359" t="s">
        <v>69</v>
      </c>
      <c r="C1563" s="1358" t="s">
        <v>70</v>
      </c>
      <c r="D1563" s="1358" t="s">
        <v>71</v>
      </c>
      <c r="E1563" s="1406">
        <v>0.28570000000000001</v>
      </c>
      <c r="F1563" s="1376">
        <f>Upah!$F$26</f>
        <v>130000</v>
      </c>
      <c r="G1563" s="1376">
        <f>E1563*F1563</f>
        <v>37141</v>
      </c>
    </row>
    <row r="1564" spans="1:13" ht="12.75" customHeight="1">
      <c r="A1564" s="1421">
        <v>2</v>
      </c>
      <c r="B1564" s="1359" t="s">
        <v>54</v>
      </c>
      <c r="C1564" s="1358" t="s">
        <v>72</v>
      </c>
      <c r="D1564" s="1358" t="s">
        <v>71</v>
      </c>
      <c r="E1564" s="1406">
        <v>0.1429</v>
      </c>
      <c r="F1564" s="1376">
        <f>Upah!$F$17</f>
        <v>140000</v>
      </c>
      <c r="G1564" s="1376">
        <f>E1564*F1564</f>
        <v>20006</v>
      </c>
    </row>
    <row r="1565" spans="1:13" ht="12.75" customHeight="1">
      <c r="A1565" s="1421">
        <v>3</v>
      </c>
      <c r="B1565" s="1359" t="s">
        <v>73</v>
      </c>
      <c r="C1565" s="1358" t="s">
        <v>74</v>
      </c>
      <c r="D1565" s="1358" t="s">
        <v>71</v>
      </c>
      <c r="E1565" s="1406">
        <v>0.05</v>
      </c>
      <c r="F1565" s="1376">
        <f>Upah!$F$10</f>
        <v>150000</v>
      </c>
      <c r="G1565" s="1376">
        <f>E1565*F1565</f>
        <v>7500</v>
      </c>
    </row>
    <row r="1566" spans="1:13" ht="12.75" customHeight="1">
      <c r="A1566" s="1421">
        <v>4</v>
      </c>
      <c r="B1566" s="1359" t="s">
        <v>50</v>
      </c>
      <c r="C1566" s="1358" t="s">
        <v>75</v>
      </c>
      <c r="D1566" s="1358" t="s">
        <v>71</v>
      </c>
      <c r="E1566" s="1406">
        <v>0.9</v>
      </c>
      <c r="F1566" s="1376">
        <f>Upah!$F$8</f>
        <v>170000</v>
      </c>
      <c r="G1566" s="1376">
        <f>E1566*F1566</f>
        <v>153000</v>
      </c>
    </row>
    <row r="1567" spans="1:13" ht="12.75" customHeight="1">
      <c r="A1567" s="1396" t="s">
        <v>553</v>
      </c>
      <c r="B1567" s="1397"/>
      <c r="C1567" s="1397"/>
      <c r="D1567" s="1398"/>
      <c r="E1567" s="1399"/>
      <c r="F1567" s="1400"/>
      <c r="G1567" s="1401">
        <f>SUM(G1563:G1566)</f>
        <v>217647</v>
      </c>
    </row>
    <row r="1568" spans="1:13" ht="12.75" customHeight="1">
      <c r="A1568" s="1358" t="s">
        <v>263</v>
      </c>
      <c r="B1568" s="1359" t="s">
        <v>78</v>
      </c>
      <c r="C1568" s="1358"/>
      <c r="D1568" s="1358"/>
      <c r="E1568" s="1406"/>
      <c r="F1568" s="1361"/>
      <c r="G1568" s="1361"/>
    </row>
    <row r="1569" spans="1:7" ht="12.75" customHeight="1">
      <c r="A1569" s="1421">
        <v>1</v>
      </c>
      <c r="B1569" s="1359" t="s">
        <v>765</v>
      </c>
      <c r="C1569" s="1358"/>
      <c r="D1569" s="1358" t="s">
        <v>273</v>
      </c>
      <c r="E1569" s="1406">
        <v>1</v>
      </c>
      <c r="F1569" s="1376">
        <f>Bahan!E266</f>
        <v>350000</v>
      </c>
      <c r="G1569" s="1376">
        <f t="shared" ref="G1569:G1571" si="152">E1569*F1569</f>
        <v>350000</v>
      </c>
    </row>
    <row r="1570" spans="1:7" ht="12.75" customHeight="1">
      <c r="A1570" s="1421">
        <v>2</v>
      </c>
      <c r="B1570" s="1359" t="s">
        <v>781</v>
      </c>
      <c r="C1570" s="1358"/>
      <c r="D1570" s="1358" t="s">
        <v>372</v>
      </c>
      <c r="E1570" s="1406">
        <v>2</v>
      </c>
      <c r="F1570" s="1376">
        <f>Bahan!E290</f>
        <v>8000</v>
      </c>
      <c r="G1570" s="1376">
        <f t="shared" si="152"/>
        <v>16000</v>
      </c>
    </row>
    <row r="1571" spans="1:7" ht="12.75" customHeight="1">
      <c r="A1571" s="1421">
        <v>3</v>
      </c>
      <c r="B1571" s="1359" t="s">
        <v>625</v>
      </c>
      <c r="C1571" s="1358"/>
      <c r="D1571" s="1358" t="s">
        <v>291</v>
      </c>
      <c r="E1571" s="1406">
        <v>1</v>
      </c>
      <c r="F1571" s="1376">
        <f>Bahan!E301</f>
        <v>21000</v>
      </c>
      <c r="G1571" s="1376">
        <f t="shared" si="152"/>
        <v>21000</v>
      </c>
    </row>
    <row r="1572" spans="1:7" ht="12.75" customHeight="1">
      <c r="A1572" s="1396" t="s">
        <v>79</v>
      </c>
      <c r="B1572" s="1397"/>
      <c r="C1572" s="1397"/>
      <c r="D1572" s="1398"/>
      <c r="E1572" s="1399"/>
      <c r="F1572" s="1400"/>
      <c r="G1572" s="1401">
        <f>SUM(G1569:G1571)</f>
        <v>387000</v>
      </c>
    </row>
    <row r="1573" spans="1:7" ht="12.75" customHeight="1">
      <c r="A1573" s="1358" t="s">
        <v>264</v>
      </c>
      <c r="B1573" s="1359" t="s">
        <v>81</v>
      </c>
      <c r="C1573" s="1358"/>
      <c r="D1573" s="1358"/>
      <c r="E1573" s="1406"/>
      <c r="F1573" s="1361"/>
      <c r="G1573" s="1361"/>
    </row>
    <row r="1574" spans="1:7" ht="12.75" customHeight="1">
      <c r="A1574" s="1358"/>
      <c r="B1574" s="1359"/>
      <c r="C1574" s="1358"/>
      <c r="D1574" s="1358"/>
      <c r="E1574" s="1406"/>
      <c r="F1574" s="1361"/>
      <c r="G1574" s="1361"/>
    </row>
    <row r="1575" spans="1:7" ht="12.75" customHeight="1">
      <c r="A1575" s="1396" t="s">
        <v>82</v>
      </c>
      <c r="B1575" s="1397"/>
      <c r="C1575" s="1397"/>
      <c r="D1575" s="1398"/>
      <c r="E1575" s="1399"/>
      <c r="F1575" s="1400"/>
      <c r="G1575" s="1401">
        <f>SUM(G1574)</f>
        <v>0</v>
      </c>
    </row>
    <row r="1576" spans="1:7" ht="12.75" customHeight="1">
      <c r="A1576" s="1407" t="s">
        <v>281</v>
      </c>
      <c r="B1576" s="1408" t="s">
        <v>292</v>
      </c>
      <c r="C1576" s="1408"/>
      <c r="D1576" s="1407"/>
      <c r="E1576" s="1409"/>
      <c r="F1576" s="1410"/>
      <c r="G1576" s="1411">
        <f>G1567+G1572+G1575</f>
        <v>604647</v>
      </c>
    </row>
    <row r="1577" spans="1:7" ht="12.75" customHeight="1">
      <c r="A1577" s="1412" t="s">
        <v>90</v>
      </c>
      <c r="B1577" s="1413" t="s">
        <v>293</v>
      </c>
      <c r="C1577" s="992"/>
      <c r="D1577" s="1414"/>
      <c r="E1577" s="970">
        <f>$I$2</f>
        <v>0.1</v>
      </c>
      <c r="F1577" s="967"/>
      <c r="G1577" s="968">
        <f>+G1576*E1577</f>
        <v>60464.700000000004</v>
      </c>
    </row>
    <row r="1578" spans="1:7" ht="12.75" customHeight="1">
      <c r="A1578" s="1415" t="s">
        <v>94</v>
      </c>
      <c r="B1578" s="1416" t="s">
        <v>86</v>
      </c>
      <c r="C1578" s="1416"/>
      <c r="D1578" s="1417"/>
      <c r="E1578" s="1418"/>
      <c r="F1578" s="1419"/>
      <c r="G1578" s="1420">
        <f>G1576+G1577</f>
        <v>665111.69999999995</v>
      </c>
    </row>
    <row r="1579" spans="1:7" ht="7.5" customHeight="1">
      <c r="A1579" s="980"/>
      <c r="B1579" s="980"/>
      <c r="C1579" s="980"/>
      <c r="D1579" s="980"/>
      <c r="E1579" s="1356"/>
      <c r="F1579" s="1357"/>
      <c r="G1579" s="1357"/>
    </row>
    <row r="1580" spans="1:7" ht="12.75" customHeight="1" thickBot="1">
      <c r="A1580" s="1808" t="s">
        <v>758</v>
      </c>
      <c r="B1580" s="1809"/>
      <c r="C1580" s="1809"/>
      <c r="D1580" s="1809"/>
      <c r="E1580" s="1809"/>
      <c r="F1580" s="1809"/>
      <c r="G1580" s="1809"/>
    </row>
    <row r="1581" spans="1:7" ht="12.75" customHeight="1" thickTop="1">
      <c r="A1581" s="1797" t="s">
        <v>275</v>
      </c>
      <c r="B1581" s="1799" t="s">
        <v>295</v>
      </c>
      <c r="C1581" s="1799" t="s">
        <v>276</v>
      </c>
      <c r="D1581" s="1799" t="s">
        <v>277</v>
      </c>
      <c r="E1581" s="1801" t="s">
        <v>278</v>
      </c>
      <c r="F1581" s="916" t="s">
        <v>279</v>
      </c>
      <c r="G1581" s="916" t="s">
        <v>280</v>
      </c>
    </row>
    <row r="1582" spans="1:7" ht="12.75" customHeight="1">
      <c r="A1582" s="1798"/>
      <c r="B1582" s="1800"/>
      <c r="C1582" s="1800"/>
      <c r="D1582" s="1800"/>
      <c r="E1582" s="1802"/>
      <c r="F1582" s="917" t="s">
        <v>67</v>
      </c>
      <c r="G1582" s="917" t="s">
        <v>67</v>
      </c>
    </row>
    <row r="1583" spans="1:7" ht="12.75" customHeight="1">
      <c r="A1583" s="1402" t="s">
        <v>262</v>
      </c>
      <c r="B1583" s="1403" t="s">
        <v>267</v>
      </c>
      <c r="C1583" s="1402"/>
      <c r="D1583" s="1402"/>
      <c r="E1583" s="1404"/>
      <c r="F1583" s="1422"/>
      <c r="G1583" s="1405"/>
    </row>
    <row r="1584" spans="1:7" s="49" customFormat="1" ht="12.75" customHeight="1">
      <c r="A1584" s="1387">
        <v>1</v>
      </c>
      <c r="B1584" s="1388" t="s">
        <v>69</v>
      </c>
      <c r="C1584" s="1389" t="s">
        <v>70</v>
      </c>
      <c r="D1584" s="1389" t="s">
        <v>71</v>
      </c>
      <c r="E1584" s="1390">
        <v>1</v>
      </c>
      <c r="F1584" s="1376">
        <f>F1563</f>
        <v>130000</v>
      </c>
      <c r="G1584" s="1376">
        <f>E1584*F1584</f>
        <v>130000</v>
      </c>
    </row>
    <row r="1585" spans="1:7" s="49" customFormat="1" ht="12.75" customHeight="1">
      <c r="A1585" s="1387">
        <v>2</v>
      </c>
      <c r="B1585" s="1388" t="s">
        <v>54</v>
      </c>
      <c r="C1585" s="1389" t="s">
        <v>72</v>
      </c>
      <c r="D1585" s="1389" t="s">
        <v>71</v>
      </c>
      <c r="E1585" s="1390">
        <v>0.5</v>
      </c>
      <c r="F1585" s="1376">
        <f t="shared" ref="F1585:F1587" si="153">F1564</f>
        <v>140000</v>
      </c>
      <c r="G1585" s="1376">
        <f>E1585*F1585</f>
        <v>70000</v>
      </c>
    </row>
    <row r="1586" spans="1:7" s="49" customFormat="1" ht="12.75" customHeight="1">
      <c r="A1586" s="1387">
        <v>3</v>
      </c>
      <c r="B1586" s="1388" t="s">
        <v>73</v>
      </c>
      <c r="C1586" s="1389" t="s">
        <v>74</v>
      </c>
      <c r="D1586" s="1389" t="s">
        <v>71</v>
      </c>
      <c r="E1586" s="1390">
        <v>0.05</v>
      </c>
      <c r="F1586" s="1376">
        <f t="shared" si="153"/>
        <v>150000</v>
      </c>
      <c r="G1586" s="1376">
        <f>E1586*F1586</f>
        <v>7500</v>
      </c>
    </row>
    <row r="1587" spans="1:7" s="49" customFormat="1" ht="12.75" customHeight="1">
      <c r="A1587" s="1391">
        <v>4</v>
      </c>
      <c r="B1587" s="1392" t="s">
        <v>50</v>
      </c>
      <c r="C1587" s="1393" t="s">
        <v>75</v>
      </c>
      <c r="D1587" s="1393" t="s">
        <v>71</v>
      </c>
      <c r="E1587" s="1394">
        <v>1.67E-2</v>
      </c>
      <c r="F1587" s="1376">
        <f t="shared" si="153"/>
        <v>170000</v>
      </c>
      <c r="G1587" s="1395">
        <f>E1587*F1587</f>
        <v>2839</v>
      </c>
    </row>
    <row r="1588" spans="1:7" s="49" customFormat="1" ht="12.75" customHeight="1">
      <c r="A1588" s="1396" t="s">
        <v>553</v>
      </c>
      <c r="B1588" s="1397"/>
      <c r="C1588" s="1397"/>
      <c r="D1588" s="1398"/>
      <c r="E1588" s="1399"/>
      <c r="F1588" s="1400"/>
      <c r="G1588" s="1401">
        <f>SUM(G1584:G1587)</f>
        <v>210339</v>
      </c>
    </row>
    <row r="1589" spans="1:7" s="49" customFormat="1" ht="12.75" customHeight="1">
      <c r="A1589" s="1402" t="s">
        <v>263</v>
      </c>
      <c r="B1589" s="1403" t="s">
        <v>78</v>
      </c>
      <c r="C1589" s="1402"/>
      <c r="D1589" s="1402"/>
      <c r="E1589" s="1404"/>
      <c r="F1589" s="1405"/>
      <c r="G1589" s="1405"/>
    </row>
    <row r="1590" spans="1:7" s="49" customFormat="1" ht="12.75" customHeight="1">
      <c r="A1590" s="1391">
        <v>1</v>
      </c>
      <c r="B1590" s="1423" t="s">
        <v>727</v>
      </c>
      <c r="C1590" s="1393"/>
      <c r="D1590" s="1393" t="s">
        <v>273</v>
      </c>
      <c r="E1590" s="1394">
        <v>1.2</v>
      </c>
      <c r="F1590" s="1395">
        <f>Bahan!E280</f>
        <v>435000</v>
      </c>
      <c r="G1590" s="1395">
        <f t="shared" ref="G1590" si="154">E1590*F1590</f>
        <v>522000</v>
      </c>
    </row>
    <row r="1591" spans="1:7" s="49" customFormat="1" ht="12.75" customHeight="1">
      <c r="A1591" s="1396" t="s">
        <v>79</v>
      </c>
      <c r="B1591" s="1397"/>
      <c r="C1591" s="1397"/>
      <c r="D1591" s="1398"/>
      <c r="E1591" s="1399"/>
      <c r="F1591" s="1424"/>
      <c r="G1591" s="1401">
        <f>SUM(G1590:G1590)</f>
        <v>522000</v>
      </c>
    </row>
    <row r="1592" spans="1:7" s="49" customFormat="1" ht="12.75" customHeight="1">
      <c r="A1592" s="1402" t="s">
        <v>264</v>
      </c>
      <c r="B1592" s="1403" t="s">
        <v>81</v>
      </c>
      <c r="C1592" s="1402"/>
      <c r="D1592" s="1402"/>
      <c r="E1592" s="1404"/>
      <c r="F1592" s="1422"/>
      <c r="G1592" s="1405"/>
    </row>
    <row r="1593" spans="1:7" s="49" customFormat="1" ht="12.75" customHeight="1">
      <c r="A1593" s="1393"/>
      <c r="B1593" s="1392"/>
      <c r="C1593" s="1393"/>
      <c r="D1593" s="1393"/>
      <c r="E1593" s="1394"/>
      <c r="F1593" s="1425"/>
      <c r="G1593" s="1426"/>
    </row>
    <row r="1594" spans="1:7" s="49" customFormat="1" ht="12.75" customHeight="1">
      <c r="A1594" s="1396" t="s">
        <v>82</v>
      </c>
      <c r="B1594" s="1397"/>
      <c r="C1594" s="1397"/>
      <c r="D1594" s="1398"/>
      <c r="E1594" s="1399"/>
      <c r="F1594" s="1424"/>
      <c r="G1594" s="1401">
        <f>SUM(G1593)</f>
        <v>0</v>
      </c>
    </row>
    <row r="1595" spans="1:7" s="49" customFormat="1" ht="12.75" customHeight="1">
      <c r="A1595" s="1407" t="s">
        <v>281</v>
      </c>
      <c r="B1595" s="1408" t="s">
        <v>292</v>
      </c>
      <c r="C1595" s="1408"/>
      <c r="D1595" s="1407"/>
      <c r="E1595" s="1409"/>
      <c r="F1595" s="1427"/>
      <c r="G1595" s="1411">
        <f>G1588+G1591+G1594</f>
        <v>732339</v>
      </c>
    </row>
    <row r="1596" spans="1:7" s="49" customFormat="1" ht="12.75" customHeight="1">
      <c r="A1596" s="1412" t="s">
        <v>90</v>
      </c>
      <c r="B1596" s="1413" t="s">
        <v>293</v>
      </c>
      <c r="C1596" s="992"/>
      <c r="D1596" s="1414"/>
      <c r="E1596" s="970">
        <f>$I$2</f>
        <v>0.1</v>
      </c>
      <c r="F1596" s="1428"/>
      <c r="G1596" s="1429">
        <f>+G1595*E1596</f>
        <v>73233.900000000009</v>
      </c>
    </row>
    <row r="1597" spans="1:7" s="49" customFormat="1" ht="12.75" customHeight="1">
      <c r="A1597" s="1415" t="s">
        <v>94</v>
      </c>
      <c r="B1597" s="1416" t="s">
        <v>86</v>
      </c>
      <c r="C1597" s="1416"/>
      <c r="D1597" s="1417"/>
      <c r="E1597" s="1418"/>
      <c r="F1597" s="1430"/>
      <c r="G1597" s="1420">
        <f>G1595+G1596</f>
        <v>805572.9</v>
      </c>
    </row>
    <row r="1598" spans="1:7" s="49" customFormat="1" ht="6" customHeight="1">
      <c r="A1598" s="980"/>
      <c r="B1598" s="980"/>
      <c r="C1598" s="980"/>
      <c r="D1598" s="980"/>
      <c r="E1598" s="1356"/>
      <c r="F1598" s="1357"/>
      <c r="G1598" s="1357"/>
    </row>
    <row r="1599" spans="1:7" s="111" customFormat="1" ht="12.75" customHeight="1" thickBot="1">
      <c r="A1599" s="1808" t="s">
        <v>757</v>
      </c>
      <c r="B1599" s="1809"/>
      <c r="C1599" s="1809"/>
      <c r="D1599" s="1809"/>
      <c r="E1599" s="1809"/>
      <c r="F1599" s="1809"/>
      <c r="G1599" s="1809"/>
    </row>
    <row r="1600" spans="1:7" s="111" customFormat="1" ht="12.75" customHeight="1" thickTop="1">
      <c r="A1600" s="1797" t="s">
        <v>275</v>
      </c>
      <c r="B1600" s="1799" t="s">
        <v>295</v>
      </c>
      <c r="C1600" s="1799" t="s">
        <v>276</v>
      </c>
      <c r="D1600" s="1799" t="s">
        <v>277</v>
      </c>
      <c r="E1600" s="1801" t="s">
        <v>278</v>
      </c>
      <c r="F1600" s="916" t="s">
        <v>279</v>
      </c>
      <c r="G1600" s="916" t="s">
        <v>280</v>
      </c>
    </row>
    <row r="1601" spans="1:7" s="111" customFormat="1" ht="12.75" customHeight="1">
      <c r="A1601" s="1798"/>
      <c r="B1601" s="1800"/>
      <c r="C1601" s="1800"/>
      <c r="D1601" s="1800"/>
      <c r="E1601" s="1802"/>
      <c r="F1601" s="917" t="s">
        <v>67</v>
      </c>
      <c r="G1601" s="917" t="s">
        <v>67</v>
      </c>
    </row>
    <row r="1602" spans="1:7" s="111" customFormat="1" ht="12.75" customHeight="1">
      <c r="A1602" s="1402" t="s">
        <v>262</v>
      </c>
      <c r="B1602" s="1403" t="s">
        <v>267</v>
      </c>
      <c r="C1602" s="1402"/>
      <c r="D1602" s="1402"/>
      <c r="E1602" s="1404"/>
      <c r="F1602" s="1422"/>
      <c r="G1602" s="1405"/>
    </row>
    <row r="1603" spans="1:7" s="111" customFormat="1" ht="12.75" customHeight="1">
      <c r="A1603" s="1387">
        <v>1</v>
      </c>
      <c r="B1603" s="1388" t="s">
        <v>69</v>
      </c>
      <c r="C1603" s="1389" t="s">
        <v>70</v>
      </c>
      <c r="D1603" s="1389" t="s">
        <v>71</v>
      </c>
      <c r="E1603" s="1390">
        <v>1</v>
      </c>
      <c r="F1603" s="1376">
        <f>F1584</f>
        <v>130000</v>
      </c>
      <c r="G1603" s="1376">
        <f>E1603*F1603</f>
        <v>130000</v>
      </c>
    </row>
    <row r="1604" spans="1:7" s="111" customFormat="1" ht="12.75" customHeight="1">
      <c r="A1604" s="1387">
        <v>2</v>
      </c>
      <c r="B1604" s="1388" t="s">
        <v>54</v>
      </c>
      <c r="C1604" s="1389" t="s">
        <v>72</v>
      </c>
      <c r="D1604" s="1389" t="s">
        <v>71</v>
      </c>
      <c r="E1604" s="1390">
        <v>0.5</v>
      </c>
      <c r="F1604" s="1376">
        <f t="shared" ref="F1604:F1606" si="155">F1585</f>
        <v>140000</v>
      </c>
      <c r="G1604" s="1376">
        <f>E1604*F1604</f>
        <v>70000</v>
      </c>
    </row>
    <row r="1605" spans="1:7" s="111" customFormat="1" ht="12.75" customHeight="1">
      <c r="A1605" s="1387">
        <v>3</v>
      </c>
      <c r="B1605" s="1388" t="s">
        <v>73</v>
      </c>
      <c r="C1605" s="1389" t="s">
        <v>74</v>
      </c>
      <c r="D1605" s="1389" t="s">
        <v>71</v>
      </c>
      <c r="E1605" s="1390">
        <v>0.05</v>
      </c>
      <c r="F1605" s="1376">
        <f t="shared" si="155"/>
        <v>150000</v>
      </c>
      <c r="G1605" s="1376">
        <f>E1605*F1605</f>
        <v>7500</v>
      </c>
    </row>
    <row r="1606" spans="1:7" s="111" customFormat="1" ht="12.75" customHeight="1">
      <c r="A1606" s="1391">
        <v>4</v>
      </c>
      <c r="B1606" s="1392" t="s">
        <v>50</v>
      </c>
      <c r="C1606" s="1393" t="s">
        <v>75</v>
      </c>
      <c r="D1606" s="1393" t="s">
        <v>71</v>
      </c>
      <c r="E1606" s="1394">
        <v>1.67E-2</v>
      </c>
      <c r="F1606" s="1376">
        <f t="shared" si="155"/>
        <v>170000</v>
      </c>
      <c r="G1606" s="1395">
        <f>E1606*F1606</f>
        <v>2839</v>
      </c>
    </row>
    <row r="1607" spans="1:7" s="111" customFormat="1" ht="12.75" customHeight="1">
      <c r="A1607" s="1396" t="s">
        <v>553</v>
      </c>
      <c r="B1607" s="1397"/>
      <c r="C1607" s="1397"/>
      <c r="D1607" s="1398"/>
      <c r="E1607" s="1399"/>
      <c r="F1607" s="1400"/>
      <c r="G1607" s="1401">
        <f>SUM(G1603:G1606)</f>
        <v>210339</v>
      </c>
    </row>
    <row r="1608" spans="1:7" s="111" customFormat="1" ht="12.75" customHeight="1">
      <c r="A1608" s="1402" t="s">
        <v>263</v>
      </c>
      <c r="B1608" s="1403" t="s">
        <v>78</v>
      </c>
      <c r="C1608" s="1402"/>
      <c r="D1608" s="1402"/>
      <c r="E1608" s="1404"/>
      <c r="F1608" s="1405"/>
      <c r="G1608" s="1405"/>
    </row>
    <row r="1609" spans="1:7" s="111" customFormat="1" ht="12.75" customHeight="1">
      <c r="A1609" s="1391">
        <v>1</v>
      </c>
      <c r="B1609" s="1423" t="s">
        <v>756</v>
      </c>
      <c r="C1609" s="1393"/>
      <c r="D1609" s="1393" t="s">
        <v>273</v>
      </c>
      <c r="E1609" s="1394">
        <v>1.2</v>
      </c>
      <c r="F1609" s="1395">
        <f>Bahan!E278</f>
        <v>595000</v>
      </c>
      <c r="G1609" s="1395">
        <f t="shared" ref="G1609" si="156">E1609*F1609</f>
        <v>714000</v>
      </c>
    </row>
    <row r="1610" spans="1:7" s="111" customFormat="1" ht="12.75" customHeight="1">
      <c r="A1610" s="1396" t="s">
        <v>79</v>
      </c>
      <c r="B1610" s="1397"/>
      <c r="C1610" s="1397"/>
      <c r="D1610" s="1398"/>
      <c r="E1610" s="1399"/>
      <c r="F1610" s="1424"/>
      <c r="G1610" s="1401">
        <f>SUM(G1609:G1609)</f>
        <v>714000</v>
      </c>
    </row>
    <row r="1611" spans="1:7" s="111" customFormat="1" ht="12.75" customHeight="1">
      <c r="A1611" s="1402" t="s">
        <v>264</v>
      </c>
      <c r="B1611" s="1403" t="s">
        <v>81</v>
      </c>
      <c r="C1611" s="1402"/>
      <c r="D1611" s="1402"/>
      <c r="E1611" s="1404"/>
      <c r="F1611" s="1422"/>
      <c r="G1611" s="1405"/>
    </row>
    <row r="1612" spans="1:7" s="111" customFormat="1" ht="12.75" customHeight="1">
      <c r="A1612" s="1393"/>
      <c r="B1612" s="1392"/>
      <c r="C1612" s="1393"/>
      <c r="D1612" s="1393"/>
      <c r="E1612" s="1394"/>
      <c r="F1612" s="1425"/>
      <c r="G1612" s="1426"/>
    </row>
    <row r="1613" spans="1:7" s="111" customFormat="1" ht="12.75" customHeight="1">
      <c r="A1613" s="1396" t="s">
        <v>82</v>
      </c>
      <c r="B1613" s="1397"/>
      <c r="C1613" s="1397"/>
      <c r="D1613" s="1398"/>
      <c r="E1613" s="1399"/>
      <c r="F1613" s="1424"/>
      <c r="G1613" s="1401">
        <f>SUM(G1612)</f>
        <v>0</v>
      </c>
    </row>
    <row r="1614" spans="1:7" s="111" customFormat="1" ht="12.75" customHeight="1">
      <c r="A1614" s="1407" t="s">
        <v>281</v>
      </c>
      <c r="B1614" s="1408" t="s">
        <v>292</v>
      </c>
      <c r="C1614" s="1408"/>
      <c r="D1614" s="1407"/>
      <c r="E1614" s="1409"/>
      <c r="F1614" s="1427"/>
      <c r="G1614" s="1411">
        <f>G1607+G1610+G1613</f>
        <v>924339</v>
      </c>
    </row>
    <row r="1615" spans="1:7" s="111" customFormat="1" ht="12.75" customHeight="1">
      <c r="A1615" s="1412" t="s">
        <v>90</v>
      </c>
      <c r="B1615" s="1413" t="s">
        <v>293</v>
      </c>
      <c r="C1615" s="992"/>
      <c r="D1615" s="1414"/>
      <c r="E1615" s="970">
        <f>$I$2</f>
        <v>0.1</v>
      </c>
      <c r="F1615" s="1428"/>
      <c r="G1615" s="1429">
        <f>+G1614*E1615</f>
        <v>92433.900000000009</v>
      </c>
    </row>
    <row r="1616" spans="1:7" s="111" customFormat="1" ht="12.75" customHeight="1">
      <c r="A1616" s="1415" t="s">
        <v>94</v>
      </c>
      <c r="B1616" s="1416" t="s">
        <v>86</v>
      </c>
      <c r="C1616" s="1416"/>
      <c r="D1616" s="1417"/>
      <c r="E1616" s="1418"/>
      <c r="F1616" s="1430"/>
      <c r="G1616" s="1420">
        <f>G1614+G1615</f>
        <v>1016772.9</v>
      </c>
    </row>
    <row r="1617" spans="1:9" s="111" customFormat="1" ht="8.25" customHeight="1">
      <c r="A1617" s="980"/>
      <c r="B1617" s="980"/>
      <c r="C1617" s="980"/>
      <c r="D1617" s="980"/>
      <c r="E1617" s="1356"/>
      <c r="F1617" s="1357"/>
      <c r="G1617" s="1357"/>
    </row>
    <row r="1618" spans="1:9" s="49" customFormat="1" ht="12.75" customHeight="1" thickBot="1">
      <c r="A1618" s="1803" t="s">
        <v>766</v>
      </c>
      <c r="B1618" s="1803"/>
      <c r="C1618" s="1803"/>
      <c r="D1618" s="1803"/>
      <c r="E1618" s="1803"/>
      <c r="F1618" s="1803"/>
      <c r="G1618" s="1803"/>
    </row>
    <row r="1619" spans="1:9" s="49" customFormat="1" ht="12.75" customHeight="1" thickTop="1">
      <c r="A1619" s="1797" t="s">
        <v>275</v>
      </c>
      <c r="B1619" s="1799" t="s">
        <v>295</v>
      </c>
      <c r="C1619" s="1799" t="s">
        <v>276</v>
      </c>
      <c r="D1619" s="1799" t="s">
        <v>277</v>
      </c>
      <c r="E1619" s="1801" t="s">
        <v>278</v>
      </c>
      <c r="F1619" s="916" t="s">
        <v>279</v>
      </c>
      <c r="G1619" s="916" t="s">
        <v>280</v>
      </c>
    </row>
    <row r="1620" spans="1:9" s="49" customFormat="1" ht="12.75" customHeight="1">
      <c r="A1620" s="1798"/>
      <c r="B1620" s="1800"/>
      <c r="C1620" s="1800"/>
      <c r="D1620" s="1800"/>
      <c r="E1620" s="1802"/>
      <c r="F1620" s="917" t="s">
        <v>67</v>
      </c>
      <c r="G1620" s="917" t="s">
        <v>67</v>
      </c>
    </row>
    <row r="1621" spans="1:9" s="49" customFormat="1" ht="12.75" customHeight="1">
      <c r="A1621" s="1402" t="s">
        <v>262</v>
      </c>
      <c r="B1621" s="1403" t="s">
        <v>267</v>
      </c>
      <c r="C1621" s="1402"/>
      <c r="D1621" s="1402"/>
      <c r="E1621" s="1404"/>
      <c r="F1621" s="1405"/>
      <c r="G1621" s="1405"/>
    </row>
    <row r="1622" spans="1:9" s="49" customFormat="1" ht="12.75" customHeight="1">
      <c r="A1622" s="1387">
        <v>1</v>
      </c>
      <c r="B1622" s="1388" t="s">
        <v>69</v>
      </c>
      <c r="C1622" s="1389" t="s">
        <v>70</v>
      </c>
      <c r="D1622" s="1389" t="s">
        <v>71</v>
      </c>
      <c r="E1622" s="1390">
        <v>0.01</v>
      </c>
      <c r="F1622" s="1376">
        <f>Upah!$F$26</f>
        <v>130000</v>
      </c>
      <c r="G1622" s="1376">
        <f>E1622*F1622</f>
        <v>1300</v>
      </c>
    </row>
    <row r="1623" spans="1:9" s="49" customFormat="1" ht="12.75" customHeight="1">
      <c r="A1623" s="1387">
        <v>2</v>
      </c>
      <c r="B1623" s="1388" t="s">
        <v>54</v>
      </c>
      <c r="C1623" s="1389" t="s">
        <v>72</v>
      </c>
      <c r="D1623" s="1389" t="s">
        <v>71</v>
      </c>
      <c r="E1623" s="1390">
        <v>0.1</v>
      </c>
      <c r="F1623" s="1376">
        <f>Upah!$F$17</f>
        <v>140000</v>
      </c>
      <c r="G1623" s="1376">
        <f>E1623*F1623</f>
        <v>14000</v>
      </c>
    </row>
    <row r="1624" spans="1:9" s="49" customFormat="1" ht="12.75" customHeight="1">
      <c r="A1624" s="1387">
        <v>3</v>
      </c>
      <c r="B1624" s="1388" t="s">
        <v>73</v>
      </c>
      <c r="C1624" s="1389" t="s">
        <v>74</v>
      </c>
      <c r="D1624" s="1389" t="s">
        <v>71</v>
      </c>
      <c r="E1624" s="1390">
        <v>0.01</v>
      </c>
      <c r="F1624" s="1376">
        <f>Upah!$F$10</f>
        <v>150000</v>
      </c>
      <c r="G1624" s="1376">
        <f>E1624*F1624</f>
        <v>1500</v>
      </c>
    </row>
    <row r="1625" spans="1:9" s="49" customFormat="1" ht="12.75" customHeight="1">
      <c r="A1625" s="1391">
        <v>4</v>
      </c>
      <c r="B1625" s="1392" t="s">
        <v>50</v>
      </c>
      <c r="C1625" s="1393" t="s">
        <v>75</v>
      </c>
      <c r="D1625" s="1393" t="s">
        <v>71</v>
      </c>
      <c r="E1625" s="1394">
        <v>3.3E-3</v>
      </c>
      <c r="F1625" s="1395">
        <f>Upah!$F$8</f>
        <v>170000</v>
      </c>
      <c r="G1625" s="1395">
        <f>E1625*F1625</f>
        <v>561</v>
      </c>
      <c r="I1625" s="111" t="s">
        <v>731</v>
      </c>
    </row>
    <row r="1626" spans="1:9" s="49" customFormat="1" ht="12.75" customHeight="1">
      <c r="A1626" s="1396" t="s">
        <v>553</v>
      </c>
      <c r="B1626" s="1397"/>
      <c r="C1626" s="1397"/>
      <c r="D1626" s="1398"/>
      <c r="E1626" s="1399"/>
      <c r="F1626" s="1400"/>
      <c r="G1626" s="1401">
        <f>SUM(G1622:G1625)</f>
        <v>17361</v>
      </c>
    </row>
    <row r="1627" spans="1:9" s="49" customFormat="1" ht="12.75" customHeight="1">
      <c r="A1627" s="1402" t="s">
        <v>263</v>
      </c>
      <c r="B1627" s="1403" t="s">
        <v>78</v>
      </c>
      <c r="C1627" s="1402"/>
      <c r="D1627" s="1402"/>
      <c r="E1627" s="1404"/>
      <c r="F1627" s="1405"/>
      <c r="G1627" s="1405"/>
    </row>
    <row r="1628" spans="1:9" s="49" customFormat="1" ht="12.75" customHeight="1">
      <c r="A1628" s="1391">
        <v>1</v>
      </c>
      <c r="B1628" s="1392" t="s">
        <v>738</v>
      </c>
      <c r="C1628" s="1393"/>
      <c r="D1628" s="1393" t="s">
        <v>273</v>
      </c>
      <c r="E1628" s="1394">
        <v>1</v>
      </c>
      <c r="F1628" s="1395">
        <f>Bahan!E267</f>
        <v>95000</v>
      </c>
      <c r="G1628" s="1395">
        <f t="shared" ref="G1628" si="157">E1628*F1628</f>
        <v>95000</v>
      </c>
    </row>
    <row r="1629" spans="1:9" s="49" customFormat="1" ht="12.75" customHeight="1">
      <c r="A1629" s="1396" t="s">
        <v>79</v>
      </c>
      <c r="B1629" s="1397"/>
      <c r="C1629" s="1397"/>
      <c r="D1629" s="1398"/>
      <c r="E1629" s="1399"/>
      <c r="F1629" s="1400"/>
      <c r="G1629" s="1401">
        <f>SUM(G1628)</f>
        <v>95000</v>
      </c>
    </row>
    <row r="1630" spans="1:9" s="49" customFormat="1" ht="12.75" customHeight="1">
      <c r="A1630" s="1402" t="s">
        <v>264</v>
      </c>
      <c r="B1630" s="1403" t="s">
        <v>81</v>
      </c>
      <c r="C1630" s="1402"/>
      <c r="D1630" s="1402"/>
      <c r="E1630" s="1404"/>
      <c r="F1630" s="1405"/>
      <c r="G1630" s="1405"/>
    </row>
    <row r="1631" spans="1:9" s="49" customFormat="1" ht="12.75" customHeight="1">
      <c r="A1631" s="1393"/>
      <c r="B1631" s="1392"/>
      <c r="C1631" s="1393"/>
      <c r="D1631" s="1393"/>
      <c r="E1631" s="1394"/>
      <c r="F1631" s="1426"/>
      <c r="G1631" s="1426"/>
    </row>
    <row r="1632" spans="1:9" s="49" customFormat="1" ht="12.75" customHeight="1">
      <c r="A1632" s="1396" t="s">
        <v>82</v>
      </c>
      <c r="B1632" s="1397"/>
      <c r="C1632" s="1397"/>
      <c r="D1632" s="1398"/>
      <c r="E1632" s="1399"/>
      <c r="F1632" s="1400"/>
      <c r="G1632" s="1401">
        <f>SUM(G1631)</f>
        <v>0</v>
      </c>
    </row>
    <row r="1633" spans="1:7" s="49" customFormat="1" ht="12.75" customHeight="1">
      <c r="A1633" s="1407" t="s">
        <v>281</v>
      </c>
      <c r="B1633" s="1408" t="s">
        <v>292</v>
      </c>
      <c r="C1633" s="1408"/>
      <c r="D1633" s="1407"/>
      <c r="E1633" s="1409"/>
      <c r="F1633" s="1410"/>
      <c r="G1633" s="1411">
        <f>G1626+G1629+G1632</f>
        <v>112361</v>
      </c>
    </row>
    <row r="1634" spans="1:7" s="49" customFormat="1" ht="12.75" customHeight="1">
      <c r="A1634" s="1412" t="s">
        <v>90</v>
      </c>
      <c r="B1634" s="1413" t="s">
        <v>293</v>
      </c>
      <c r="C1634" s="992"/>
      <c r="D1634" s="1414"/>
      <c r="E1634" s="970">
        <f>$I$2</f>
        <v>0.1</v>
      </c>
      <c r="F1634" s="967"/>
      <c r="G1634" s="968">
        <f>+G1633*E1634</f>
        <v>11236.1</v>
      </c>
    </row>
    <row r="1635" spans="1:7" s="49" customFormat="1" ht="12.75" customHeight="1">
      <c r="A1635" s="1415" t="s">
        <v>94</v>
      </c>
      <c r="B1635" s="1416" t="s">
        <v>86</v>
      </c>
      <c r="C1635" s="1416"/>
      <c r="D1635" s="1417"/>
      <c r="E1635" s="1418"/>
      <c r="F1635" s="1419"/>
      <c r="G1635" s="1420">
        <f>G1633+G1634</f>
        <v>123597.1</v>
      </c>
    </row>
    <row r="1636" spans="1:7" s="49" customFormat="1" ht="12.75" customHeight="1">
      <c r="A1636" s="1431"/>
      <c r="B1636" s="977"/>
      <c r="C1636" s="977"/>
      <c r="D1636" s="1432"/>
      <c r="E1636" s="1433"/>
      <c r="F1636" s="1434"/>
      <c r="G1636" s="1435"/>
    </row>
    <row r="1637" spans="1:7" s="49" customFormat="1" ht="12.75" customHeight="1" thickBot="1">
      <c r="A1637" s="1377" t="s">
        <v>768</v>
      </c>
      <c r="B1637" s="1378"/>
      <c r="C1637" s="1378"/>
      <c r="D1637" s="1379"/>
      <c r="E1637" s="1380"/>
      <c r="F1637" s="1381"/>
      <c r="G1637" s="1381"/>
    </row>
    <row r="1638" spans="1:7" s="49" customFormat="1" ht="12.75" customHeight="1" thickTop="1">
      <c r="A1638" s="1797" t="s">
        <v>275</v>
      </c>
      <c r="B1638" s="1799" t="s">
        <v>295</v>
      </c>
      <c r="C1638" s="1799" t="s">
        <v>276</v>
      </c>
      <c r="D1638" s="1799" t="s">
        <v>277</v>
      </c>
      <c r="E1638" s="1801" t="s">
        <v>278</v>
      </c>
      <c r="F1638" s="916" t="s">
        <v>279</v>
      </c>
      <c r="G1638" s="916" t="s">
        <v>280</v>
      </c>
    </row>
    <row r="1639" spans="1:7" s="49" customFormat="1" ht="12.75" customHeight="1">
      <c r="A1639" s="1798"/>
      <c r="B1639" s="1800"/>
      <c r="C1639" s="1800"/>
      <c r="D1639" s="1800"/>
      <c r="E1639" s="1802"/>
      <c r="F1639" s="917" t="s">
        <v>67</v>
      </c>
      <c r="G1639" s="917" t="s">
        <v>67</v>
      </c>
    </row>
    <row r="1640" spans="1:7" s="49" customFormat="1" ht="12.75" customHeight="1">
      <c r="A1640" s="1402" t="s">
        <v>262</v>
      </c>
      <c r="B1640" s="1403" t="s">
        <v>267</v>
      </c>
      <c r="C1640" s="1402"/>
      <c r="D1640" s="1402"/>
      <c r="E1640" s="1404"/>
      <c r="F1640" s="1405"/>
      <c r="G1640" s="1405"/>
    </row>
    <row r="1641" spans="1:7" s="49" customFormat="1" ht="12.75" customHeight="1">
      <c r="A1641" s="1387">
        <v>1</v>
      </c>
      <c r="B1641" s="1388" t="s">
        <v>69</v>
      </c>
      <c r="C1641" s="1389" t="s">
        <v>70</v>
      </c>
      <c r="D1641" s="1389" t="s">
        <v>71</v>
      </c>
      <c r="E1641" s="1390">
        <v>0.01</v>
      </c>
      <c r="F1641" s="1376">
        <f>Upah!$F$26</f>
        <v>130000</v>
      </c>
      <c r="G1641" s="1376">
        <f>E1641*F1641</f>
        <v>1300</v>
      </c>
    </row>
    <row r="1642" spans="1:7" s="49" customFormat="1" ht="12.75" customHeight="1">
      <c r="A1642" s="1387">
        <v>2</v>
      </c>
      <c r="B1642" s="1388" t="s">
        <v>54</v>
      </c>
      <c r="C1642" s="1389" t="s">
        <v>72</v>
      </c>
      <c r="D1642" s="1389" t="s">
        <v>71</v>
      </c>
      <c r="E1642" s="1390">
        <v>0.4</v>
      </c>
      <c r="F1642" s="1376">
        <f>Upah!$F$17</f>
        <v>140000</v>
      </c>
      <c r="G1642" s="1376">
        <f>E1642*F1642</f>
        <v>56000</v>
      </c>
    </row>
    <row r="1643" spans="1:7" s="49" customFormat="1" ht="12.75" customHeight="1">
      <c r="A1643" s="1387">
        <v>3</v>
      </c>
      <c r="B1643" s="1388" t="s">
        <v>73</v>
      </c>
      <c r="C1643" s="1389" t="s">
        <v>74</v>
      </c>
      <c r="D1643" s="1389" t="s">
        <v>71</v>
      </c>
      <c r="E1643" s="1390">
        <v>0.04</v>
      </c>
      <c r="F1643" s="1376">
        <f>Upah!$F$10</f>
        <v>150000</v>
      </c>
      <c r="G1643" s="1376">
        <f>E1643*F1643</f>
        <v>6000</v>
      </c>
    </row>
    <row r="1644" spans="1:7" s="49" customFormat="1" ht="12.75" customHeight="1">
      <c r="A1644" s="1391">
        <v>4</v>
      </c>
      <c r="B1644" s="1392" t="s">
        <v>50</v>
      </c>
      <c r="C1644" s="1393" t="s">
        <v>75</v>
      </c>
      <c r="D1644" s="1393" t="s">
        <v>71</v>
      </c>
      <c r="E1644" s="1394">
        <v>3.3E-3</v>
      </c>
      <c r="F1644" s="1395">
        <f>Upah!$F$8</f>
        <v>170000</v>
      </c>
      <c r="G1644" s="1395">
        <f>E1644*F1644</f>
        <v>561</v>
      </c>
    </row>
    <row r="1645" spans="1:7" s="49" customFormat="1" ht="12.75" customHeight="1">
      <c r="A1645" s="1396" t="s">
        <v>553</v>
      </c>
      <c r="B1645" s="1397"/>
      <c r="C1645" s="1397"/>
      <c r="D1645" s="1398"/>
      <c r="E1645" s="1399"/>
      <c r="F1645" s="1400"/>
      <c r="G1645" s="1401">
        <f>SUM(G1641:G1644)</f>
        <v>63861</v>
      </c>
    </row>
    <row r="1646" spans="1:7" s="49" customFormat="1" ht="12.75" customHeight="1">
      <c r="A1646" s="1402" t="s">
        <v>263</v>
      </c>
      <c r="B1646" s="1403" t="s">
        <v>78</v>
      </c>
      <c r="C1646" s="1402"/>
      <c r="D1646" s="1402"/>
      <c r="E1646" s="1404"/>
      <c r="F1646" s="1405"/>
      <c r="G1646" s="1405"/>
    </row>
    <row r="1647" spans="1:7" s="47" customFormat="1" ht="12.75" customHeight="1">
      <c r="A1647" s="1387">
        <v>1</v>
      </c>
      <c r="B1647" s="1388" t="s">
        <v>769</v>
      </c>
      <c r="C1647" s="1389"/>
      <c r="D1647" s="1389" t="s">
        <v>291</v>
      </c>
      <c r="E1647" s="1390">
        <v>1</v>
      </c>
      <c r="F1647" s="1376">
        <f>Bahan!E271</f>
        <v>70500</v>
      </c>
      <c r="G1647" s="1376">
        <f t="shared" ref="G1647:G1648" si="158">E1647*F1647</f>
        <v>70500</v>
      </c>
    </row>
    <row r="1648" spans="1:7" s="47" customFormat="1" ht="12.75" customHeight="1">
      <c r="A1648" s="1387">
        <v>2</v>
      </c>
      <c r="B1648" s="1388" t="s">
        <v>626</v>
      </c>
      <c r="C1648" s="1389"/>
      <c r="D1648" s="1389" t="s">
        <v>291</v>
      </c>
      <c r="E1648" s="1390">
        <v>2.5000000000000001E-2</v>
      </c>
      <c r="F1648" s="1376">
        <f>Bahan!E275</f>
        <v>4500</v>
      </c>
      <c r="G1648" s="1376">
        <f t="shared" si="158"/>
        <v>112.5</v>
      </c>
    </row>
    <row r="1649" spans="1:7" s="47" customFormat="1" ht="12.75" customHeight="1">
      <c r="A1649" s="1436" t="s">
        <v>79</v>
      </c>
      <c r="B1649" s="1437"/>
      <c r="C1649" s="1437"/>
      <c r="D1649" s="1438"/>
      <c r="E1649" s="1439"/>
      <c r="F1649" s="1440"/>
      <c r="G1649" s="1441">
        <f>SUM(G1647:G1648)</f>
        <v>70612.5</v>
      </c>
    </row>
    <row r="1650" spans="1:7" s="47" customFormat="1" ht="12.75" customHeight="1">
      <c r="A1650" s="1358" t="s">
        <v>264</v>
      </c>
      <c r="B1650" s="1359" t="s">
        <v>81</v>
      </c>
      <c r="C1650" s="1358"/>
      <c r="D1650" s="1358"/>
      <c r="E1650" s="1406"/>
      <c r="F1650" s="1361"/>
      <c r="G1650" s="1361"/>
    </row>
    <row r="1651" spans="1:7" s="47" customFormat="1" ht="12.75" customHeight="1">
      <c r="A1651" s="1358"/>
      <c r="B1651" s="1359"/>
      <c r="C1651" s="1358"/>
      <c r="D1651" s="1358"/>
      <c r="E1651" s="1406"/>
      <c r="F1651" s="1361"/>
      <c r="G1651" s="1361"/>
    </row>
    <row r="1652" spans="1:7" s="47" customFormat="1" ht="12.75" customHeight="1">
      <c r="A1652" s="1396" t="s">
        <v>82</v>
      </c>
      <c r="B1652" s="1397"/>
      <c r="C1652" s="1397"/>
      <c r="D1652" s="1398"/>
      <c r="E1652" s="1399"/>
      <c r="F1652" s="1400"/>
      <c r="G1652" s="1401">
        <f>SUM(G1651)</f>
        <v>0</v>
      </c>
    </row>
    <row r="1653" spans="1:7" s="47" customFormat="1" ht="12.75" customHeight="1">
      <c r="A1653" s="1407" t="s">
        <v>281</v>
      </c>
      <c r="B1653" s="1408" t="s">
        <v>292</v>
      </c>
      <c r="C1653" s="1408"/>
      <c r="D1653" s="1407"/>
      <c r="E1653" s="1409"/>
      <c r="F1653" s="1410"/>
      <c r="G1653" s="1411">
        <f>G1645+G1649+G1652</f>
        <v>134473.5</v>
      </c>
    </row>
    <row r="1654" spans="1:7" s="47" customFormat="1" ht="12.75" customHeight="1">
      <c r="A1654" s="1412" t="s">
        <v>90</v>
      </c>
      <c r="B1654" s="1413" t="s">
        <v>293</v>
      </c>
      <c r="C1654" s="992"/>
      <c r="D1654" s="1414"/>
      <c r="E1654" s="970">
        <f>$I$2</f>
        <v>0.1</v>
      </c>
      <c r="F1654" s="967"/>
      <c r="G1654" s="968">
        <f>+G1653*E1654</f>
        <v>13447.35</v>
      </c>
    </row>
    <row r="1655" spans="1:7" s="47" customFormat="1" ht="12.75" customHeight="1">
      <c r="A1655" s="1415" t="s">
        <v>94</v>
      </c>
      <c r="B1655" s="1416" t="s">
        <v>86</v>
      </c>
      <c r="C1655" s="1416"/>
      <c r="D1655" s="1417"/>
      <c r="E1655" s="1418"/>
      <c r="F1655" s="1419"/>
      <c r="G1655" s="1420">
        <f>G1653+G1654</f>
        <v>147920.85</v>
      </c>
    </row>
    <row r="1656" spans="1:7" s="47" customFormat="1" ht="12.75" customHeight="1">
      <c r="A1656" s="980"/>
      <c r="B1656" s="980"/>
      <c r="C1656" s="980"/>
      <c r="D1656" s="980"/>
      <c r="E1656" s="1356"/>
      <c r="F1656" s="1357"/>
      <c r="G1656" s="1357"/>
    </row>
    <row r="1657" spans="1:7" s="47" customFormat="1" ht="12.75" customHeight="1" thickBot="1">
      <c r="A1657" s="1377" t="s">
        <v>779</v>
      </c>
      <c r="B1657" s="1378"/>
      <c r="C1657" s="1378"/>
      <c r="D1657" s="1379"/>
      <c r="E1657" s="1380"/>
      <c r="F1657" s="1381"/>
      <c r="G1657" s="1381"/>
    </row>
    <row r="1658" spans="1:7" s="47" customFormat="1" ht="12.75" customHeight="1" thickTop="1">
      <c r="A1658" s="1797" t="s">
        <v>275</v>
      </c>
      <c r="B1658" s="1799" t="s">
        <v>295</v>
      </c>
      <c r="C1658" s="1799" t="s">
        <v>276</v>
      </c>
      <c r="D1658" s="1799" t="s">
        <v>277</v>
      </c>
      <c r="E1658" s="1801" t="s">
        <v>278</v>
      </c>
      <c r="F1658" s="916" t="s">
        <v>279</v>
      </c>
      <c r="G1658" s="916" t="s">
        <v>280</v>
      </c>
    </row>
    <row r="1659" spans="1:7" s="47" customFormat="1" ht="12.75" customHeight="1">
      <c r="A1659" s="1798"/>
      <c r="B1659" s="1800"/>
      <c r="C1659" s="1800"/>
      <c r="D1659" s="1800"/>
      <c r="E1659" s="1802"/>
      <c r="F1659" s="917" t="s">
        <v>67</v>
      </c>
      <c r="G1659" s="917" t="s">
        <v>67</v>
      </c>
    </row>
    <row r="1660" spans="1:7" s="47" customFormat="1" ht="12.75" customHeight="1">
      <c r="A1660" s="1402" t="s">
        <v>262</v>
      </c>
      <c r="B1660" s="1403" t="s">
        <v>267</v>
      </c>
      <c r="C1660" s="1402"/>
      <c r="D1660" s="1402"/>
      <c r="E1660" s="1404"/>
      <c r="F1660" s="1405"/>
      <c r="G1660" s="1405"/>
    </row>
    <row r="1661" spans="1:7" s="47" customFormat="1" ht="12.75" customHeight="1">
      <c r="A1661" s="1387">
        <v>1</v>
      </c>
      <c r="B1661" s="1388" t="s">
        <v>69</v>
      </c>
      <c r="C1661" s="1389" t="s">
        <v>70</v>
      </c>
      <c r="D1661" s="1389" t="s">
        <v>71</v>
      </c>
      <c r="E1661" s="1390">
        <v>0.01</v>
      </c>
      <c r="F1661" s="1376">
        <f>Upah!$F$26</f>
        <v>130000</v>
      </c>
      <c r="G1661" s="1376">
        <f>E1661*F1661</f>
        <v>1300</v>
      </c>
    </row>
    <row r="1662" spans="1:7" s="47" customFormat="1" ht="12.75" customHeight="1">
      <c r="A1662" s="1387">
        <v>2</v>
      </c>
      <c r="B1662" s="1388" t="s">
        <v>54</v>
      </c>
      <c r="C1662" s="1389" t="s">
        <v>72</v>
      </c>
      <c r="D1662" s="1389" t="s">
        <v>71</v>
      </c>
      <c r="E1662" s="1390">
        <v>0.4</v>
      </c>
      <c r="F1662" s="1376">
        <f>Upah!$F$17</f>
        <v>140000</v>
      </c>
      <c r="G1662" s="1376">
        <f>E1662*F1662</f>
        <v>56000</v>
      </c>
    </row>
    <row r="1663" spans="1:7" s="47" customFormat="1" ht="12.75" customHeight="1">
      <c r="A1663" s="1387">
        <v>3</v>
      </c>
      <c r="B1663" s="1388" t="s">
        <v>73</v>
      </c>
      <c r="C1663" s="1389" t="s">
        <v>74</v>
      </c>
      <c r="D1663" s="1389" t="s">
        <v>71</v>
      </c>
      <c r="E1663" s="1390">
        <v>0.04</v>
      </c>
      <c r="F1663" s="1376">
        <f>Upah!$F$10</f>
        <v>150000</v>
      </c>
      <c r="G1663" s="1376">
        <f>E1663*F1663</f>
        <v>6000</v>
      </c>
    </row>
    <row r="1664" spans="1:7" s="47" customFormat="1" ht="12.75" customHeight="1">
      <c r="A1664" s="1391">
        <v>4</v>
      </c>
      <c r="B1664" s="1392" t="s">
        <v>50</v>
      </c>
      <c r="C1664" s="1393" t="s">
        <v>75</v>
      </c>
      <c r="D1664" s="1393" t="s">
        <v>71</v>
      </c>
      <c r="E1664" s="1394">
        <v>3.3E-3</v>
      </c>
      <c r="F1664" s="1395">
        <f>Upah!$F$8</f>
        <v>170000</v>
      </c>
      <c r="G1664" s="1395">
        <f>E1664*F1664</f>
        <v>561</v>
      </c>
    </row>
    <row r="1665" spans="1:7" s="47" customFormat="1" ht="12.75" customHeight="1">
      <c r="A1665" s="1396" t="s">
        <v>553</v>
      </c>
      <c r="B1665" s="1397"/>
      <c r="C1665" s="1397"/>
      <c r="D1665" s="1398"/>
      <c r="E1665" s="1399"/>
      <c r="F1665" s="1400"/>
      <c r="G1665" s="1401">
        <f>SUM(G1661:G1664)</f>
        <v>63861</v>
      </c>
    </row>
    <row r="1666" spans="1:7" s="47" customFormat="1" ht="12.75" customHeight="1">
      <c r="A1666" s="1402" t="s">
        <v>263</v>
      </c>
      <c r="B1666" s="1403" t="s">
        <v>78</v>
      </c>
      <c r="C1666" s="1402"/>
      <c r="D1666" s="1402"/>
      <c r="E1666" s="1404"/>
      <c r="F1666" s="1405"/>
      <c r="G1666" s="1405"/>
    </row>
    <row r="1667" spans="1:7" s="47" customFormat="1" ht="12.75" customHeight="1">
      <c r="A1667" s="1387">
        <v>1</v>
      </c>
      <c r="B1667" s="1388" t="s">
        <v>776</v>
      </c>
      <c r="C1667" s="1389"/>
      <c r="D1667" s="1389" t="s">
        <v>291</v>
      </c>
      <c r="E1667" s="1390">
        <v>1</v>
      </c>
      <c r="F1667" s="1376">
        <f>Bahan!E273</f>
        <v>695000</v>
      </c>
      <c r="G1667" s="1376">
        <f t="shared" ref="G1667:G1668" si="159">E1667*F1667</f>
        <v>695000</v>
      </c>
    </row>
    <row r="1668" spans="1:7" ht="12.75" customHeight="1">
      <c r="A1668" s="1391">
        <v>2</v>
      </c>
      <c r="B1668" s="1392" t="s">
        <v>626</v>
      </c>
      <c r="C1668" s="1393"/>
      <c r="D1668" s="1393" t="s">
        <v>291</v>
      </c>
      <c r="E1668" s="1394">
        <v>2.5000000000000001E-2</v>
      </c>
      <c r="F1668" s="1395">
        <f>F1648</f>
        <v>4500</v>
      </c>
      <c r="G1668" s="1395">
        <f t="shared" si="159"/>
        <v>112.5</v>
      </c>
    </row>
    <row r="1669" spans="1:7" ht="12.75" customHeight="1">
      <c r="A1669" s="1396" t="s">
        <v>79</v>
      </c>
      <c r="B1669" s="1397"/>
      <c r="C1669" s="1397"/>
      <c r="D1669" s="1398"/>
      <c r="E1669" s="1399"/>
      <c r="F1669" s="1400"/>
      <c r="G1669" s="1401">
        <f>SUM(G1667:G1668)</f>
        <v>695112.5</v>
      </c>
    </row>
    <row r="1670" spans="1:7" ht="12.75" customHeight="1">
      <c r="A1670" s="1402" t="s">
        <v>264</v>
      </c>
      <c r="B1670" s="1403" t="s">
        <v>81</v>
      </c>
      <c r="C1670" s="1402"/>
      <c r="D1670" s="1402"/>
      <c r="E1670" s="1404"/>
      <c r="F1670" s="1405"/>
      <c r="G1670" s="1405"/>
    </row>
    <row r="1671" spans="1:7" ht="12.75" customHeight="1">
      <c r="A1671" s="1396" t="s">
        <v>82</v>
      </c>
      <c r="B1671" s="1397"/>
      <c r="C1671" s="1397"/>
      <c r="D1671" s="1398"/>
      <c r="E1671" s="1399"/>
      <c r="F1671" s="1400"/>
      <c r="G1671" s="1401">
        <v>0</v>
      </c>
    </row>
    <row r="1672" spans="1:7" ht="12.75" customHeight="1">
      <c r="A1672" s="1407" t="s">
        <v>281</v>
      </c>
      <c r="B1672" s="1408" t="s">
        <v>292</v>
      </c>
      <c r="C1672" s="1408"/>
      <c r="D1672" s="1407"/>
      <c r="E1672" s="1409"/>
      <c r="F1672" s="1410"/>
      <c r="G1672" s="1411">
        <f>G1665+G1669+G1671</f>
        <v>758973.5</v>
      </c>
    </row>
    <row r="1673" spans="1:7" ht="12.75" customHeight="1">
      <c r="A1673" s="1412" t="s">
        <v>90</v>
      </c>
      <c r="B1673" s="1413" t="s">
        <v>293</v>
      </c>
      <c r="C1673" s="992"/>
      <c r="D1673" s="1414"/>
      <c r="E1673" s="970">
        <f>$I$2</f>
        <v>0.1</v>
      </c>
      <c r="F1673" s="967"/>
      <c r="G1673" s="968">
        <f>+G1672*E1673</f>
        <v>75897.350000000006</v>
      </c>
    </row>
    <row r="1674" spans="1:7" ht="12.75" customHeight="1">
      <c r="A1674" s="1415" t="s">
        <v>94</v>
      </c>
      <c r="B1674" s="1416" t="s">
        <v>86</v>
      </c>
      <c r="C1674" s="1416"/>
      <c r="D1674" s="1417"/>
      <c r="E1674" s="1418"/>
      <c r="F1674" s="1419"/>
      <c r="G1674" s="1420">
        <f>G1672+G1673</f>
        <v>834870.85</v>
      </c>
    </row>
    <row r="1675" spans="1:7" ht="12.75" customHeight="1">
      <c r="A1675" s="980"/>
      <c r="B1675" s="980"/>
      <c r="C1675" s="980"/>
      <c r="D1675" s="980"/>
      <c r="E1675" s="1356"/>
      <c r="F1675" s="1357"/>
      <c r="G1675" s="1357"/>
    </row>
    <row r="1676" spans="1:7" s="111" customFormat="1" ht="12.75" customHeight="1" thickBot="1">
      <c r="A1676" s="1377" t="s">
        <v>780</v>
      </c>
      <c r="B1676" s="1378"/>
      <c r="C1676" s="1378"/>
      <c r="D1676" s="1379"/>
      <c r="E1676" s="1380"/>
      <c r="F1676" s="1381"/>
      <c r="G1676" s="1381"/>
    </row>
    <row r="1677" spans="1:7" s="111" customFormat="1" ht="12.75" customHeight="1" thickTop="1">
      <c r="A1677" s="1797" t="s">
        <v>275</v>
      </c>
      <c r="B1677" s="1799" t="s">
        <v>295</v>
      </c>
      <c r="C1677" s="1799" t="s">
        <v>276</v>
      </c>
      <c r="D1677" s="1799" t="s">
        <v>277</v>
      </c>
      <c r="E1677" s="1801" t="s">
        <v>278</v>
      </c>
      <c r="F1677" s="916" t="s">
        <v>279</v>
      </c>
      <c r="G1677" s="916" t="s">
        <v>280</v>
      </c>
    </row>
    <row r="1678" spans="1:7" s="111" customFormat="1" ht="12.75" customHeight="1">
      <c r="A1678" s="1798"/>
      <c r="B1678" s="1800"/>
      <c r="C1678" s="1800"/>
      <c r="D1678" s="1800"/>
      <c r="E1678" s="1802"/>
      <c r="F1678" s="917" t="s">
        <v>67</v>
      </c>
      <c r="G1678" s="917" t="s">
        <v>67</v>
      </c>
    </row>
    <row r="1679" spans="1:7" s="111" customFormat="1" ht="12.75" customHeight="1">
      <c r="A1679" s="1402" t="s">
        <v>262</v>
      </c>
      <c r="B1679" s="1403" t="s">
        <v>267</v>
      </c>
      <c r="C1679" s="1402"/>
      <c r="D1679" s="1402"/>
      <c r="E1679" s="1404"/>
      <c r="F1679" s="1405"/>
      <c r="G1679" s="1405"/>
    </row>
    <row r="1680" spans="1:7" s="111" customFormat="1" ht="12.75" customHeight="1">
      <c r="A1680" s="1387">
        <v>1</v>
      </c>
      <c r="B1680" s="1388" t="s">
        <v>69</v>
      </c>
      <c r="C1680" s="1389" t="s">
        <v>70</v>
      </c>
      <c r="D1680" s="1389" t="s">
        <v>71</v>
      </c>
      <c r="E1680" s="1390">
        <v>0.01</v>
      </c>
      <c r="F1680" s="1376">
        <f>Upah!$F$26</f>
        <v>130000</v>
      </c>
      <c r="G1680" s="1376">
        <f>E1680*F1680</f>
        <v>1300</v>
      </c>
    </row>
    <row r="1681" spans="1:7" s="111" customFormat="1" ht="12.75" customHeight="1">
      <c r="A1681" s="1387">
        <v>2</v>
      </c>
      <c r="B1681" s="1388" t="s">
        <v>54</v>
      </c>
      <c r="C1681" s="1389" t="s">
        <v>72</v>
      </c>
      <c r="D1681" s="1389" t="s">
        <v>71</v>
      </c>
      <c r="E1681" s="1390">
        <v>0.4</v>
      </c>
      <c r="F1681" s="1376">
        <f>Upah!$F$17</f>
        <v>140000</v>
      </c>
      <c r="G1681" s="1376">
        <f>E1681*F1681</f>
        <v>56000</v>
      </c>
    </row>
    <row r="1682" spans="1:7" s="111" customFormat="1" ht="12.75" customHeight="1">
      <c r="A1682" s="1387">
        <v>3</v>
      </c>
      <c r="B1682" s="1388" t="s">
        <v>73</v>
      </c>
      <c r="C1682" s="1389" t="s">
        <v>74</v>
      </c>
      <c r="D1682" s="1389" t="s">
        <v>71</v>
      </c>
      <c r="E1682" s="1390">
        <v>0.04</v>
      </c>
      <c r="F1682" s="1376">
        <f>Upah!$F$10</f>
        <v>150000</v>
      </c>
      <c r="G1682" s="1376">
        <f>E1682*F1682</f>
        <v>6000</v>
      </c>
    </row>
    <row r="1683" spans="1:7" s="111" customFormat="1" ht="12.75" customHeight="1">
      <c r="A1683" s="1391">
        <v>4</v>
      </c>
      <c r="B1683" s="1392" t="s">
        <v>50</v>
      </c>
      <c r="C1683" s="1393" t="s">
        <v>75</v>
      </c>
      <c r="D1683" s="1393" t="s">
        <v>71</v>
      </c>
      <c r="E1683" s="1394">
        <v>3.3E-3</v>
      </c>
      <c r="F1683" s="1395">
        <f>Upah!$F$8</f>
        <v>170000</v>
      </c>
      <c r="G1683" s="1395">
        <f>E1683*F1683</f>
        <v>561</v>
      </c>
    </row>
    <row r="1684" spans="1:7" s="111" customFormat="1" ht="12.75" customHeight="1">
      <c r="A1684" s="1396" t="s">
        <v>553</v>
      </c>
      <c r="B1684" s="1397"/>
      <c r="C1684" s="1397"/>
      <c r="D1684" s="1398"/>
      <c r="E1684" s="1399"/>
      <c r="F1684" s="1400"/>
      <c r="G1684" s="1401">
        <f>SUM(G1680:G1683)</f>
        <v>63861</v>
      </c>
    </row>
    <row r="1685" spans="1:7" s="111" customFormat="1" ht="12.75" customHeight="1">
      <c r="A1685" s="1402" t="s">
        <v>263</v>
      </c>
      <c r="B1685" s="1403" t="s">
        <v>78</v>
      </c>
      <c r="C1685" s="1402"/>
      <c r="D1685" s="1402"/>
      <c r="E1685" s="1404"/>
      <c r="F1685" s="1405"/>
      <c r="G1685" s="1405"/>
    </row>
    <row r="1686" spans="1:7" s="111" customFormat="1" ht="12.75" customHeight="1">
      <c r="A1686" s="1387">
        <v>1</v>
      </c>
      <c r="B1686" s="1388" t="s">
        <v>778</v>
      </c>
      <c r="C1686" s="1389"/>
      <c r="D1686" s="1389" t="s">
        <v>291</v>
      </c>
      <c r="E1686" s="1390">
        <v>1</v>
      </c>
      <c r="F1686" s="1376">
        <f>Bahan!E274</f>
        <v>595000</v>
      </c>
      <c r="G1686" s="1376">
        <f t="shared" ref="G1686:G1687" si="160">E1686*F1686</f>
        <v>595000</v>
      </c>
    </row>
    <row r="1687" spans="1:7" s="111" customFormat="1" ht="12.75" customHeight="1">
      <c r="A1687" s="1391">
        <v>2</v>
      </c>
      <c r="B1687" s="1392" t="s">
        <v>626</v>
      </c>
      <c r="C1687" s="1393"/>
      <c r="D1687" s="1393" t="s">
        <v>291</v>
      </c>
      <c r="E1687" s="1394">
        <v>2.5000000000000001E-2</v>
      </c>
      <c r="F1687" s="1395">
        <f>F1668</f>
        <v>4500</v>
      </c>
      <c r="G1687" s="1395">
        <f t="shared" si="160"/>
        <v>112.5</v>
      </c>
    </row>
    <row r="1688" spans="1:7" s="111" customFormat="1" ht="12.75" customHeight="1">
      <c r="A1688" s="1396" t="s">
        <v>79</v>
      </c>
      <c r="B1688" s="1397"/>
      <c r="C1688" s="1397"/>
      <c r="D1688" s="1398"/>
      <c r="E1688" s="1399"/>
      <c r="F1688" s="1400"/>
      <c r="G1688" s="1401">
        <f>SUM(G1686:G1687)</f>
        <v>595112.5</v>
      </c>
    </row>
    <row r="1689" spans="1:7" s="111" customFormat="1" ht="12.75" customHeight="1">
      <c r="A1689" s="1402" t="s">
        <v>264</v>
      </c>
      <c r="B1689" s="1403" t="s">
        <v>81</v>
      </c>
      <c r="C1689" s="1402"/>
      <c r="D1689" s="1402"/>
      <c r="E1689" s="1404"/>
      <c r="F1689" s="1405"/>
      <c r="G1689" s="1405"/>
    </row>
    <row r="1690" spans="1:7" s="111" customFormat="1" ht="12.75" customHeight="1">
      <c r="A1690" s="1396" t="s">
        <v>82</v>
      </c>
      <c r="B1690" s="1397"/>
      <c r="C1690" s="1397"/>
      <c r="D1690" s="1398"/>
      <c r="E1690" s="1399"/>
      <c r="F1690" s="1400"/>
      <c r="G1690" s="1401">
        <v>0</v>
      </c>
    </row>
    <row r="1691" spans="1:7" s="111" customFormat="1" ht="12.75" customHeight="1">
      <c r="A1691" s="1407" t="s">
        <v>281</v>
      </c>
      <c r="B1691" s="1408" t="s">
        <v>292</v>
      </c>
      <c r="C1691" s="1408"/>
      <c r="D1691" s="1407"/>
      <c r="E1691" s="1409"/>
      <c r="F1691" s="1410"/>
      <c r="G1691" s="1411">
        <f>G1684+G1688+G1690</f>
        <v>658973.5</v>
      </c>
    </row>
    <row r="1692" spans="1:7" s="111" customFormat="1" ht="12.75" customHeight="1">
      <c r="A1692" s="1412" t="s">
        <v>90</v>
      </c>
      <c r="B1692" s="1413" t="s">
        <v>293</v>
      </c>
      <c r="C1692" s="992"/>
      <c r="D1692" s="1414"/>
      <c r="E1692" s="970">
        <f>$I$2</f>
        <v>0.1</v>
      </c>
      <c r="F1692" s="967"/>
      <c r="G1692" s="968">
        <f>+G1691*E1692</f>
        <v>65897.350000000006</v>
      </c>
    </row>
    <row r="1693" spans="1:7" s="111" customFormat="1" ht="12.75" customHeight="1">
      <c r="A1693" s="1415" t="s">
        <v>94</v>
      </c>
      <c r="B1693" s="1416" t="s">
        <v>86</v>
      </c>
      <c r="C1693" s="1416"/>
      <c r="D1693" s="1417"/>
      <c r="E1693" s="1418"/>
      <c r="F1693" s="1419"/>
      <c r="G1693" s="1420">
        <f>G1691+G1692</f>
        <v>724870.85</v>
      </c>
    </row>
    <row r="1694" spans="1:7" s="111" customFormat="1" ht="12.75" customHeight="1">
      <c r="A1694" s="980"/>
      <c r="B1694" s="980"/>
      <c r="C1694" s="980"/>
      <c r="D1694" s="980"/>
      <c r="E1694" s="1356"/>
      <c r="F1694" s="1357"/>
      <c r="G1694" s="1357"/>
    </row>
    <row r="1695" spans="1:7" ht="13.5" customHeight="1" thickBot="1">
      <c r="A1695" s="1377" t="s">
        <v>772</v>
      </c>
      <c r="B1695" s="1378"/>
      <c r="C1695" s="1378"/>
      <c r="D1695" s="1379"/>
      <c r="E1695" s="1380"/>
      <c r="F1695" s="1381"/>
      <c r="G1695" s="1381"/>
    </row>
    <row r="1696" spans="1:7" ht="13.5" customHeight="1" thickTop="1">
      <c r="A1696" s="1797" t="s">
        <v>275</v>
      </c>
      <c r="B1696" s="1799" t="s">
        <v>295</v>
      </c>
      <c r="C1696" s="1799" t="s">
        <v>276</v>
      </c>
      <c r="D1696" s="1799" t="s">
        <v>277</v>
      </c>
      <c r="E1696" s="1801" t="s">
        <v>278</v>
      </c>
      <c r="F1696" s="916" t="s">
        <v>279</v>
      </c>
      <c r="G1696" s="916" t="s">
        <v>280</v>
      </c>
    </row>
    <row r="1697" spans="1:8" ht="13.5" customHeight="1">
      <c r="A1697" s="1798"/>
      <c r="B1697" s="1800"/>
      <c r="C1697" s="1800"/>
      <c r="D1697" s="1800"/>
      <c r="E1697" s="1802"/>
      <c r="F1697" s="917" t="s">
        <v>67</v>
      </c>
      <c r="G1697" s="917" t="s">
        <v>67</v>
      </c>
      <c r="H1697" s="99"/>
    </row>
    <row r="1698" spans="1:8" ht="13.5" customHeight="1">
      <c r="A1698" s="1382" t="s">
        <v>262</v>
      </c>
      <c r="B1698" s="1383" t="s">
        <v>267</v>
      </c>
      <c r="C1698" s="1382"/>
      <c r="D1698" s="1382"/>
      <c r="E1698" s="1384"/>
      <c r="F1698" s="1386"/>
      <c r="G1698" s="1386"/>
    </row>
    <row r="1699" spans="1:8" ht="13.5" customHeight="1">
      <c r="A1699" s="1387">
        <v>1</v>
      </c>
      <c r="B1699" s="1388" t="s">
        <v>69</v>
      </c>
      <c r="C1699" s="1389" t="s">
        <v>70</v>
      </c>
      <c r="D1699" s="1389" t="s">
        <v>71</v>
      </c>
      <c r="E1699" s="1390">
        <v>0.01</v>
      </c>
      <c r="F1699" s="1376">
        <f>Upah!$F$26</f>
        <v>130000</v>
      </c>
      <c r="G1699" s="1376">
        <f>E1699*F1699</f>
        <v>1300</v>
      </c>
    </row>
    <row r="1700" spans="1:8" ht="13.5" customHeight="1">
      <c r="A1700" s="1387">
        <v>2</v>
      </c>
      <c r="B1700" s="1388" t="s">
        <v>54</v>
      </c>
      <c r="C1700" s="1389" t="s">
        <v>72</v>
      </c>
      <c r="D1700" s="1389" t="s">
        <v>71</v>
      </c>
      <c r="E1700" s="1390">
        <v>0.4</v>
      </c>
      <c r="F1700" s="1376">
        <f>Upah!$F$17</f>
        <v>140000</v>
      </c>
      <c r="G1700" s="1376">
        <f>E1700*F1700</f>
        <v>56000</v>
      </c>
    </row>
    <row r="1701" spans="1:8" s="105" customFormat="1" ht="13.5" customHeight="1">
      <c r="A1701" s="1387">
        <v>3</v>
      </c>
      <c r="B1701" s="1388" t="s">
        <v>73</v>
      </c>
      <c r="C1701" s="1389" t="s">
        <v>74</v>
      </c>
      <c r="D1701" s="1389" t="s">
        <v>71</v>
      </c>
      <c r="E1701" s="1390">
        <v>0.04</v>
      </c>
      <c r="F1701" s="1376">
        <f>Upah!$F$10</f>
        <v>150000</v>
      </c>
      <c r="G1701" s="1376">
        <f>E1701*F1701</f>
        <v>6000</v>
      </c>
      <c r="H1701"/>
    </row>
    <row r="1702" spans="1:8" s="105" customFormat="1" ht="13.5" customHeight="1">
      <c r="A1702" s="1391">
        <v>4</v>
      </c>
      <c r="B1702" s="1392" t="s">
        <v>50</v>
      </c>
      <c r="C1702" s="1393" t="s">
        <v>75</v>
      </c>
      <c r="D1702" s="1393" t="s">
        <v>71</v>
      </c>
      <c r="E1702" s="1394">
        <v>3.3E-3</v>
      </c>
      <c r="F1702" s="1395">
        <f>Upah!$F$8</f>
        <v>170000</v>
      </c>
      <c r="G1702" s="1395">
        <f>E1702*F1702</f>
        <v>561</v>
      </c>
      <c r="H1702"/>
    </row>
    <row r="1703" spans="1:8" s="105" customFormat="1" ht="13.5" customHeight="1">
      <c r="A1703" s="1396" t="s">
        <v>553</v>
      </c>
      <c r="B1703" s="1397"/>
      <c r="C1703" s="1397"/>
      <c r="D1703" s="1398"/>
      <c r="E1703" s="1399"/>
      <c r="F1703" s="1400"/>
      <c r="G1703" s="1401">
        <f>SUM(G1699:G1702)</f>
        <v>63861</v>
      </c>
      <c r="H1703"/>
    </row>
    <row r="1704" spans="1:8" s="105" customFormat="1" ht="13.5" customHeight="1">
      <c r="A1704" s="1402" t="s">
        <v>263</v>
      </c>
      <c r="B1704" s="1403" t="s">
        <v>78</v>
      </c>
      <c r="C1704" s="1402"/>
      <c r="D1704" s="1402"/>
      <c r="E1704" s="1404"/>
      <c r="F1704" s="1405"/>
      <c r="G1704" s="1405"/>
      <c r="H1704"/>
    </row>
    <row r="1705" spans="1:8" s="105" customFormat="1" ht="13.5" customHeight="1">
      <c r="A1705" s="1387">
        <v>1</v>
      </c>
      <c r="B1705" s="1388" t="s">
        <v>771</v>
      </c>
      <c r="C1705" s="1389"/>
      <c r="D1705" s="1389" t="s">
        <v>291</v>
      </c>
      <c r="E1705" s="1390">
        <v>1</v>
      </c>
      <c r="F1705" s="1376">
        <f>Bahan!E279</f>
        <v>245000</v>
      </c>
      <c r="G1705" s="1376">
        <f t="shared" ref="G1705:G1706" si="161">E1705*F1705</f>
        <v>245000</v>
      </c>
      <c r="H1705"/>
    </row>
    <row r="1706" spans="1:8" s="105" customFormat="1" ht="13.5" customHeight="1">
      <c r="A1706" s="1391">
        <v>2</v>
      </c>
      <c r="B1706" s="1392" t="s">
        <v>626</v>
      </c>
      <c r="C1706" s="1393"/>
      <c r="D1706" s="1393" t="s">
        <v>291</v>
      </c>
      <c r="E1706" s="1394">
        <v>2.5000000000000001E-2</v>
      </c>
      <c r="F1706" s="1395">
        <f>F1668</f>
        <v>4500</v>
      </c>
      <c r="G1706" s="1395">
        <f t="shared" si="161"/>
        <v>112.5</v>
      </c>
      <c r="H1706"/>
    </row>
    <row r="1707" spans="1:8" s="105" customFormat="1" ht="13.5" customHeight="1">
      <c r="A1707" s="1396" t="s">
        <v>79</v>
      </c>
      <c r="B1707" s="1397"/>
      <c r="C1707" s="1397"/>
      <c r="D1707" s="1398"/>
      <c r="E1707" s="1399"/>
      <c r="F1707" s="1400"/>
      <c r="G1707" s="1401">
        <f>SUM(G1705:G1706)</f>
        <v>245112.5</v>
      </c>
      <c r="H1707"/>
    </row>
    <row r="1708" spans="1:8" s="105" customFormat="1" ht="13.5" customHeight="1">
      <c r="A1708" s="1402" t="s">
        <v>264</v>
      </c>
      <c r="B1708" s="1403" t="s">
        <v>81</v>
      </c>
      <c r="C1708" s="1402"/>
      <c r="D1708" s="1402"/>
      <c r="E1708" s="1404"/>
      <c r="F1708" s="1405"/>
      <c r="G1708" s="1405"/>
      <c r="H1708"/>
    </row>
    <row r="1709" spans="1:8" s="105" customFormat="1" ht="13.5" customHeight="1">
      <c r="A1709" s="1396" t="s">
        <v>82</v>
      </c>
      <c r="B1709" s="1397"/>
      <c r="C1709" s="1397"/>
      <c r="D1709" s="1398"/>
      <c r="E1709" s="1399"/>
      <c r="F1709" s="1400"/>
      <c r="G1709" s="1401">
        <v>0</v>
      </c>
      <c r="H1709"/>
    </row>
    <row r="1710" spans="1:8" s="105" customFormat="1" ht="13.5" customHeight="1">
      <c r="A1710" s="1407" t="s">
        <v>281</v>
      </c>
      <c r="B1710" s="1408" t="s">
        <v>292</v>
      </c>
      <c r="C1710" s="1408"/>
      <c r="D1710" s="1407"/>
      <c r="E1710" s="1409"/>
      <c r="F1710" s="1410"/>
      <c r="G1710" s="1411">
        <f>G1703+G1707+G1709</f>
        <v>308973.5</v>
      </c>
      <c r="H1710"/>
    </row>
    <row r="1711" spans="1:8" s="105" customFormat="1" ht="13.5" customHeight="1">
      <c r="A1711" s="1412" t="s">
        <v>90</v>
      </c>
      <c r="B1711" s="1413" t="s">
        <v>293</v>
      </c>
      <c r="C1711" s="992"/>
      <c r="D1711" s="1414"/>
      <c r="E1711" s="970">
        <f>$I$2</f>
        <v>0.1</v>
      </c>
      <c r="F1711" s="967"/>
      <c r="G1711" s="968">
        <f>+G1710*E1711</f>
        <v>30897.350000000002</v>
      </c>
      <c r="H1711"/>
    </row>
    <row r="1712" spans="1:8" s="105" customFormat="1" ht="13.5" customHeight="1">
      <c r="A1712" s="1415" t="s">
        <v>94</v>
      </c>
      <c r="B1712" s="1416" t="s">
        <v>86</v>
      </c>
      <c r="C1712" s="1416"/>
      <c r="D1712" s="1417"/>
      <c r="E1712" s="1418"/>
      <c r="F1712" s="1419"/>
      <c r="G1712" s="1420">
        <f>G1710+G1711</f>
        <v>339870.85</v>
      </c>
      <c r="H1712"/>
    </row>
    <row r="1713" spans="1:8" s="105" customFormat="1" ht="9.75" customHeight="1">
      <c r="A1713" s="980"/>
      <c r="B1713" s="980"/>
      <c r="C1713" s="980"/>
      <c r="D1713" s="980"/>
      <c r="E1713" s="1356"/>
      <c r="F1713" s="980"/>
      <c r="G1713" s="1357"/>
      <c r="H1713"/>
    </row>
    <row r="1714" spans="1:8" s="413" customFormat="1">
      <c r="A1714" s="1442" t="s">
        <v>697</v>
      </c>
      <c r="B1714" s="1443"/>
      <c r="C1714" s="1443"/>
      <c r="D1714" s="1443"/>
      <c r="E1714" s="1444"/>
      <c r="F1714" s="1443"/>
      <c r="G1714" s="1445"/>
    </row>
    <row r="1715" spans="1:8" s="413" customFormat="1" ht="15" thickBot="1">
      <c r="A1715" s="1446" t="s">
        <v>673</v>
      </c>
      <c r="B1715" s="1447"/>
      <c r="C1715" s="1447"/>
      <c r="D1715" s="1448"/>
      <c r="E1715" s="1449"/>
      <c r="F1715" s="1447"/>
      <c r="G1715" s="1450"/>
    </row>
    <row r="1716" spans="1:8" s="413" customFormat="1" ht="15" thickTop="1">
      <c r="A1716" s="1797" t="s">
        <v>275</v>
      </c>
      <c r="B1716" s="1799" t="s">
        <v>295</v>
      </c>
      <c r="C1716" s="1799" t="s">
        <v>276</v>
      </c>
      <c r="D1716" s="1799" t="s">
        <v>277</v>
      </c>
      <c r="E1716" s="1801" t="s">
        <v>278</v>
      </c>
      <c r="F1716" s="916" t="s">
        <v>279</v>
      </c>
      <c r="G1716" s="916" t="s">
        <v>280</v>
      </c>
    </row>
    <row r="1717" spans="1:8" s="413" customFormat="1">
      <c r="A1717" s="1798"/>
      <c r="B1717" s="1800"/>
      <c r="C1717" s="1800"/>
      <c r="D1717" s="1800"/>
      <c r="E1717" s="1802"/>
      <c r="F1717" s="917" t="s">
        <v>67</v>
      </c>
      <c r="G1717" s="917" t="s">
        <v>67</v>
      </c>
    </row>
    <row r="1718" spans="1:8" s="413" customFormat="1">
      <c r="A1718" s="1358" t="s">
        <v>262</v>
      </c>
      <c r="B1718" s="1359" t="s">
        <v>631</v>
      </c>
      <c r="C1718" s="1358"/>
      <c r="D1718" s="1358"/>
      <c r="E1718" s="1406"/>
      <c r="F1718" s="1451"/>
      <c r="G1718" s="1361"/>
    </row>
    <row r="1719" spans="1:8" s="413" customFormat="1">
      <c r="A1719" s="1402"/>
      <c r="B1719" s="1403" t="s">
        <v>69</v>
      </c>
      <c r="C1719" s="1402" t="s">
        <v>70</v>
      </c>
      <c r="D1719" s="1402" t="s">
        <v>71</v>
      </c>
      <c r="E1719" s="1404">
        <v>0.19</v>
      </c>
      <c r="F1719" s="1452">
        <f>F1699</f>
        <v>130000</v>
      </c>
      <c r="G1719" s="1453">
        <f>E1719*F1719</f>
        <v>24700</v>
      </c>
    </row>
    <row r="1720" spans="1:8" s="413" customFormat="1">
      <c r="A1720" s="1389"/>
      <c r="B1720" s="1388" t="s">
        <v>62</v>
      </c>
      <c r="C1720" s="1389" t="s">
        <v>72</v>
      </c>
      <c r="D1720" s="1389" t="s">
        <v>71</v>
      </c>
      <c r="E1720" s="1390">
        <v>0.318</v>
      </c>
      <c r="F1720" s="1454">
        <f>Upah!F23</f>
        <v>140000</v>
      </c>
      <c r="G1720" s="1376">
        <f>E1720*F1720</f>
        <v>44520</v>
      </c>
    </row>
    <row r="1721" spans="1:8" s="413" customFormat="1">
      <c r="A1721" s="1389"/>
      <c r="B1721" s="1388" t="s">
        <v>73</v>
      </c>
      <c r="C1721" s="1389" t="s">
        <v>74</v>
      </c>
      <c r="D1721" s="1389" t="s">
        <v>71</v>
      </c>
      <c r="E1721" s="1390">
        <v>3.2000000000000001E-2</v>
      </c>
      <c r="F1721" s="1454">
        <f>F1701</f>
        <v>150000</v>
      </c>
      <c r="G1721" s="1376">
        <f>E1721*F1721</f>
        <v>4800</v>
      </c>
    </row>
    <row r="1722" spans="1:8" s="413" customFormat="1">
      <c r="A1722" s="1393"/>
      <c r="B1722" s="1392" t="s">
        <v>50</v>
      </c>
      <c r="C1722" s="1393" t="s">
        <v>75</v>
      </c>
      <c r="D1722" s="1393" t="s">
        <v>71</v>
      </c>
      <c r="E1722" s="1394">
        <v>1.0999999999999999E-2</v>
      </c>
      <c r="F1722" s="1455">
        <f>F1702</f>
        <v>170000</v>
      </c>
      <c r="G1722" s="1395">
        <f>E1722*F1722</f>
        <v>1870</v>
      </c>
    </row>
    <row r="1723" spans="1:8" s="413" customFormat="1">
      <c r="A1723" s="1396" t="s">
        <v>632</v>
      </c>
      <c r="B1723" s="1397"/>
      <c r="C1723" s="1397"/>
      <c r="D1723" s="1398"/>
      <c r="E1723" s="1399"/>
      <c r="F1723" s="1424"/>
      <c r="G1723" s="1401">
        <f>SUM(G1719:G1722)</f>
        <v>75890</v>
      </c>
    </row>
    <row r="1724" spans="1:8" s="413" customFormat="1">
      <c r="A1724" s="1358" t="s">
        <v>263</v>
      </c>
      <c r="B1724" s="1359" t="s">
        <v>299</v>
      </c>
      <c r="C1724" s="1358"/>
      <c r="D1724" s="1358"/>
      <c r="E1724" s="1406"/>
      <c r="F1724" s="1451"/>
      <c r="G1724" s="1361"/>
    </row>
    <row r="1725" spans="1:8" s="413" customFormat="1">
      <c r="A1725" s="1402"/>
      <c r="B1725" s="1403" t="s">
        <v>633</v>
      </c>
      <c r="C1725" s="1402"/>
      <c r="D1725" s="1402" t="s">
        <v>274</v>
      </c>
      <c r="E1725" s="1404">
        <v>8.8000000000000007</v>
      </c>
      <c r="F1725" s="1452">
        <f>Bahan!E52</f>
        <v>17000</v>
      </c>
      <c r="G1725" s="1453">
        <f t="shared" ref="G1725:G1734" si="162">E1725*F1725</f>
        <v>149600</v>
      </c>
    </row>
    <row r="1726" spans="1:8" s="413" customFormat="1">
      <c r="A1726" s="1389"/>
      <c r="B1726" s="1388" t="s">
        <v>634</v>
      </c>
      <c r="C1726" s="1389"/>
      <c r="D1726" s="1389" t="s">
        <v>274</v>
      </c>
      <c r="E1726" s="1390">
        <v>8.8000000000000007</v>
      </c>
      <c r="F1726" s="1454">
        <f>Bahan!E61</f>
        <v>5150</v>
      </c>
      <c r="G1726" s="1376">
        <f t="shared" si="162"/>
        <v>45320.000000000007</v>
      </c>
    </row>
    <row r="1727" spans="1:8" s="413" customFormat="1">
      <c r="A1727" s="1389"/>
      <c r="B1727" s="1388" t="s">
        <v>537</v>
      </c>
      <c r="C1727" s="1389"/>
      <c r="D1727" s="1389" t="s">
        <v>291</v>
      </c>
      <c r="E1727" s="1390">
        <v>1</v>
      </c>
      <c r="F1727" s="1454">
        <f>Bahan!E67</f>
        <v>7000</v>
      </c>
      <c r="G1727" s="1376">
        <f t="shared" si="162"/>
        <v>7000</v>
      </c>
    </row>
    <row r="1728" spans="1:8" s="413" customFormat="1">
      <c r="A1728" s="1389"/>
      <c r="B1728" s="1388" t="s">
        <v>636</v>
      </c>
      <c r="C1728" s="1389"/>
      <c r="D1728" s="1389" t="s">
        <v>291</v>
      </c>
      <c r="E1728" s="1390">
        <v>5</v>
      </c>
      <c r="F1728" s="1454">
        <f>Bahan!E70</f>
        <v>1500</v>
      </c>
      <c r="G1728" s="1376">
        <f t="shared" si="162"/>
        <v>7500</v>
      </c>
    </row>
    <row r="1729" spans="1:8" s="413" customFormat="1">
      <c r="A1729" s="1389"/>
      <c r="B1729" s="1388" t="s">
        <v>637</v>
      </c>
      <c r="C1729" s="1389"/>
      <c r="D1729" s="1389" t="s">
        <v>291</v>
      </c>
      <c r="E1729" s="1390">
        <v>10</v>
      </c>
      <c r="F1729" s="1454">
        <f>Bahan!E54</f>
        <v>1500</v>
      </c>
      <c r="G1729" s="1376">
        <f t="shared" si="162"/>
        <v>15000</v>
      </c>
    </row>
    <row r="1730" spans="1:8" s="413" customFormat="1">
      <c r="A1730" s="1389"/>
      <c r="B1730" s="1388" t="s">
        <v>638</v>
      </c>
      <c r="C1730" s="1389"/>
      <c r="D1730" s="1389" t="s">
        <v>291</v>
      </c>
      <c r="E1730" s="1390">
        <v>15</v>
      </c>
      <c r="F1730" s="1454">
        <f>Bahan!E49</f>
        <v>1300</v>
      </c>
      <c r="G1730" s="1376">
        <f t="shared" si="162"/>
        <v>19500</v>
      </c>
    </row>
    <row r="1731" spans="1:8" s="413" customFormat="1">
      <c r="A1731" s="1389"/>
      <c r="B1731" s="1388" t="s">
        <v>639</v>
      </c>
      <c r="C1731" s="1389"/>
      <c r="D1731" s="1389" t="s">
        <v>274</v>
      </c>
      <c r="E1731" s="1390">
        <v>1</v>
      </c>
      <c r="F1731" s="1454">
        <f>Bahan!E62</f>
        <v>6000</v>
      </c>
      <c r="G1731" s="1376">
        <f t="shared" si="162"/>
        <v>6000</v>
      </c>
    </row>
    <row r="1732" spans="1:8" s="413" customFormat="1">
      <c r="A1732" s="1389"/>
      <c r="B1732" s="1388" t="s">
        <v>640</v>
      </c>
      <c r="C1732" s="1389"/>
      <c r="D1732" s="1389" t="s">
        <v>291</v>
      </c>
      <c r="E1732" s="1390">
        <v>4</v>
      </c>
      <c r="F1732" s="1454">
        <f>Bahan!E47</f>
        <v>7000</v>
      </c>
      <c r="G1732" s="1376">
        <f t="shared" si="162"/>
        <v>28000</v>
      </c>
    </row>
    <row r="1733" spans="1:8" s="413" customFormat="1">
      <c r="A1733" s="1389"/>
      <c r="B1733" s="1388" t="s">
        <v>536</v>
      </c>
      <c r="C1733" s="1389"/>
      <c r="D1733" s="1389" t="s">
        <v>274</v>
      </c>
      <c r="E1733" s="1390">
        <v>0.5</v>
      </c>
      <c r="F1733" s="1454">
        <f>Bahan!E42</f>
        <v>110</v>
      </c>
      <c r="G1733" s="1376">
        <f t="shared" si="162"/>
        <v>55</v>
      </c>
    </row>
    <row r="1734" spans="1:8" s="413" customFormat="1">
      <c r="A1734" s="1393"/>
      <c r="B1734" s="1392" t="s">
        <v>641</v>
      </c>
      <c r="C1734" s="1393"/>
      <c r="D1734" s="1393" t="s">
        <v>291</v>
      </c>
      <c r="E1734" s="1394">
        <v>4</v>
      </c>
      <c r="F1734" s="1455">
        <f>Bahan!E60</f>
        <v>300</v>
      </c>
      <c r="G1734" s="1395">
        <f t="shared" si="162"/>
        <v>1200</v>
      </c>
    </row>
    <row r="1735" spans="1:8" s="413" customFormat="1">
      <c r="A1735" s="1396" t="s">
        <v>642</v>
      </c>
      <c r="B1735" s="1397"/>
      <c r="C1735" s="1397"/>
      <c r="D1735" s="1398"/>
      <c r="E1735" s="1399"/>
      <c r="F1735" s="1424"/>
      <c r="G1735" s="1401">
        <f>SUM(G1725:G1734)</f>
        <v>279175</v>
      </c>
    </row>
    <row r="1736" spans="1:8" s="413" customFormat="1">
      <c r="A1736" s="1358" t="s">
        <v>264</v>
      </c>
      <c r="B1736" s="1359" t="s">
        <v>250</v>
      </c>
      <c r="C1736" s="1358"/>
      <c r="D1736" s="1358"/>
      <c r="E1736" s="1406"/>
      <c r="F1736" s="1451"/>
      <c r="G1736" s="1361"/>
    </row>
    <row r="1737" spans="1:8" s="413" customFormat="1">
      <c r="A1737" s="1396" t="s">
        <v>287</v>
      </c>
      <c r="B1737" s="1397"/>
      <c r="C1737" s="1397"/>
      <c r="D1737" s="1398"/>
      <c r="E1737" s="1399"/>
      <c r="F1737" s="1424"/>
      <c r="G1737" s="1401">
        <f>SUM(G1736)</f>
        <v>0</v>
      </c>
    </row>
    <row r="1738" spans="1:8" s="413" customFormat="1">
      <c r="A1738" s="1407" t="s">
        <v>281</v>
      </c>
      <c r="B1738" s="1408" t="s">
        <v>292</v>
      </c>
      <c r="C1738" s="1408"/>
      <c r="D1738" s="1407"/>
      <c r="E1738" s="1409"/>
      <c r="F1738" s="1427"/>
      <c r="G1738" s="1411">
        <f>G1723+G1735+G1737</f>
        <v>355065</v>
      </c>
    </row>
    <row r="1739" spans="1:8" s="413" customFormat="1">
      <c r="A1739" s="1412" t="s">
        <v>90</v>
      </c>
      <c r="B1739" s="1413" t="s">
        <v>293</v>
      </c>
      <c r="C1739" s="992"/>
      <c r="D1739" s="1414"/>
      <c r="E1739" s="970">
        <f>$I$2</f>
        <v>0.1</v>
      </c>
      <c r="F1739" s="967"/>
      <c r="G1739" s="968">
        <f>+G1738*E1739</f>
        <v>35506.5</v>
      </c>
    </row>
    <row r="1740" spans="1:8" s="413" customFormat="1">
      <c r="A1740" s="1415" t="s">
        <v>94</v>
      </c>
      <c r="B1740" s="1416" t="s">
        <v>86</v>
      </c>
      <c r="C1740" s="1416"/>
      <c r="D1740" s="1417"/>
      <c r="E1740" s="1418"/>
      <c r="F1740" s="1430"/>
      <c r="G1740" s="1420">
        <f>G1738+G1739</f>
        <v>390571.5</v>
      </c>
    </row>
    <row r="1741" spans="1:8" s="105" customFormat="1" ht="11.25" customHeight="1">
      <c r="A1741" s="1456"/>
      <c r="B1741" s="1443"/>
      <c r="C1741" s="1443"/>
      <c r="D1741" s="1443"/>
      <c r="E1741" s="1444"/>
      <c r="F1741" s="1443"/>
      <c r="G1741" s="1445"/>
      <c r="H1741" s="103"/>
    </row>
    <row r="1742" spans="1:8" s="105" customFormat="1">
      <c r="A1742" s="1442" t="s">
        <v>697</v>
      </c>
      <c r="B1742" s="1443"/>
      <c r="C1742" s="1443"/>
      <c r="D1742" s="1443"/>
      <c r="E1742" s="1444"/>
      <c r="F1742" s="1443"/>
      <c r="G1742" s="1445"/>
    </row>
    <row r="1743" spans="1:8" s="413" customFormat="1" ht="15" thickBot="1">
      <c r="A1743" s="1446" t="s">
        <v>699</v>
      </c>
      <c r="B1743" s="1447"/>
      <c r="C1743" s="1447"/>
      <c r="D1743" s="1448"/>
      <c r="E1743" s="1449"/>
      <c r="F1743" s="1447"/>
      <c r="G1743" s="1450"/>
    </row>
    <row r="1744" spans="1:8" s="413" customFormat="1" ht="15" thickTop="1">
      <c r="A1744" s="1797" t="s">
        <v>275</v>
      </c>
      <c r="B1744" s="1799" t="s">
        <v>295</v>
      </c>
      <c r="C1744" s="1799" t="s">
        <v>276</v>
      </c>
      <c r="D1744" s="1799" t="s">
        <v>277</v>
      </c>
      <c r="E1744" s="1801" t="s">
        <v>278</v>
      </c>
      <c r="F1744" s="916" t="s">
        <v>279</v>
      </c>
      <c r="G1744" s="916" t="s">
        <v>280</v>
      </c>
    </row>
    <row r="1745" spans="1:7" s="413" customFormat="1">
      <c r="A1745" s="1798"/>
      <c r="B1745" s="1800"/>
      <c r="C1745" s="1800"/>
      <c r="D1745" s="1800"/>
      <c r="E1745" s="1802"/>
      <c r="F1745" s="917" t="s">
        <v>67</v>
      </c>
      <c r="G1745" s="917" t="s">
        <v>67</v>
      </c>
    </row>
    <row r="1746" spans="1:7" s="413" customFormat="1">
      <c r="A1746" s="1382" t="s">
        <v>262</v>
      </c>
      <c r="B1746" s="1383" t="s">
        <v>631</v>
      </c>
      <c r="C1746" s="1382"/>
      <c r="D1746" s="1382"/>
      <c r="E1746" s="1384"/>
      <c r="F1746" s="1385"/>
      <c r="G1746" s="1386"/>
    </row>
    <row r="1747" spans="1:7" s="413" customFormat="1">
      <c r="A1747" s="1389"/>
      <c r="B1747" s="1388" t="s">
        <v>69</v>
      </c>
      <c r="C1747" s="1389" t="s">
        <v>70</v>
      </c>
      <c r="D1747" s="1389" t="s">
        <v>71</v>
      </c>
      <c r="E1747" s="1390">
        <v>0.19</v>
      </c>
      <c r="F1747" s="1454">
        <f>F1719</f>
        <v>130000</v>
      </c>
      <c r="G1747" s="1376">
        <f>E1747*F1747</f>
        <v>24700</v>
      </c>
    </row>
    <row r="1748" spans="1:7" s="413" customFormat="1">
      <c r="A1748" s="1389"/>
      <c r="B1748" s="1388" t="s">
        <v>62</v>
      </c>
      <c r="C1748" s="1389" t="s">
        <v>72</v>
      </c>
      <c r="D1748" s="1389" t="s">
        <v>71</v>
      </c>
      <c r="E1748" s="1390">
        <v>0.318</v>
      </c>
      <c r="F1748" s="1454">
        <f t="shared" ref="F1748:F1750" si="163">F1720</f>
        <v>140000</v>
      </c>
      <c r="G1748" s="1376">
        <f>E1748*F1748</f>
        <v>44520</v>
      </c>
    </row>
    <row r="1749" spans="1:7" s="413" customFormat="1">
      <c r="A1749" s="1389"/>
      <c r="B1749" s="1388" t="s">
        <v>73</v>
      </c>
      <c r="C1749" s="1389" t="s">
        <v>74</v>
      </c>
      <c r="D1749" s="1389" t="s">
        <v>71</v>
      </c>
      <c r="E1749" s="1390">
        <v>3.2000000000000001E-2</v>
      </c>
      <c r="F1749" s="1454">
        <f t="shared" si="163"/>
        <v>150000</v>
      </c>
      <c r="G1749" s="1376">
        <f>E1749*F1749</f>
        <v>4800</v>
      </c>
    </row>
    <row r="1750" spans="1:7" s="413" customFormat="1">
      <c r="A1750" s="1393"/>
      <c r="B1750" s="1392" t="s">
        <v>50</v>
      </c>
      <c r="C1750" s="1393" t="s">
        <v>75</v>
      </c>
      <c r="D1750" s="1393" t="s">
        <v>71</v>
      </c>
      <c r="E1750" s="1394">
        <v>1.0999999999999999E-2</v>
      </c>
      <c r="F1750" s="1455">
        <f t="shared" si="163"/>
        <v>170000</v>
      </c>
      <c r="G1750" s="1395">
        <f>E1750*F1750</f>
        <v>1870</v>
      </c>
    </row>
    <row r="1751" spans="1:7" s="413" customFormat="1">
      <c r="A1751" s="1396" t="s">
        <v>632</v>
      </c>
      <c r="B1751" s="1397"/>
      <c r="C1751" s="1397"/>
      <c r="D1751" s="1398"/>
      <c r="E1751" s="1399"/>
      <c r="F1751" s="1424"/>
      <c r="G1751" s="1401">
        <f>SUM(G1747:G1750)</f>
        <v>75890</v>
      </c>
    </row>
    <row r="1752" spans="1:7" s="413" customFormat="1">
      <c r="A1752" s="1402" t="s">
        <v>263</v>
      </c>
      <c r="B1752" s="1403" t="s">
        <v>299</v>
      </c>
      <c r="C1752" s="1402"/>
      <c r="D1752" s="1402"/>
      <c r="E1752" s="1404"/>
      <c r="F1752" s="1422"/>
      <c r="G1752" s="1405"/>
    </row>
    <row r="1753" spans="1:7" s="413" customFormat="1">
      <c r="A1753" s="1389"/>
      <c r="B1753" s="1388" t="s">
        <v>633</v>
      </c>
      <c r="C1753" s="1389"/>
      <c r="D1753" s="1389" t="s">
        <v>274</v>
      </c>
      <c r="E1753" s="1390">
        <v>5</v>
      </c>
      <c r="F1753" s="1454">
        <f t="shared" ref="F1753:F1757" si="164">F1725</f>
        <v>17000</v>
      </c>
      <c r="G1753" s="1376">
        <f t="shared" ref="G1753:G1759" si="165">E1753*F1753</f>
        <v>85000</v>
      </c>
    </row>
    <row r="1754" spans="1:7" s="413" customFormat="1">
      <c r="A1754" s="1389"/>
      <c r="B1754" s="1388" t="s">
        <v>634</v>
      </c>
      <c r="C1754" s="1389"/>
      <c r="D1754" s="1389" t="s">
        <v>274</v>
      </c>
      <c r="E1754" s="1390">
        <f>E1753</f>
        <v>5</v>
      </c>
      <c r="F1754" s="1454">
        <f t="shared" si="164"/>
        <v>5150</v>
      </c>
      <c r="G1754" s="1376">
        <f t="shared" si="165"/>
        <v>25750</v>
      </c>
    </row>
    <row r="1755" spans="1:7" s="413" customFormat="1">
      <c r="A1755" s="1389"/>
      <c r="B1755" s="1388" t="s">
        <v>635</v>
      </c>
      <c r="C1755" s="1389"/>
      <c r="D1755" s="1389" t="s">
        <v>291</v>
      </c>
      <c r="E1755" s="1390">
        <v>2</v>
      </c>
      <c r="F1755" s="1454">
        <f t="shared" si="164"/>
        <v>7000</v>
      </c>
      <c r="G1755" s="1376">
        <f t="shared" si="165"/>
        <v>14000</v>
      </c>
    </row>
    <row r="1756" spans="1:7" s="413" customFormat="1">
      <c r="A1756" s="1389"/>
      <c r="B1756" s="1388" t="s">
        <v>636</v>
      </c>
      <c r="C1756" s="1389"/>
      <c r="D1756" s="1389" t="s">
        <v>291</v>
      </c>
      <c r="E1756" s="1390">
        <v>3</v>
      </c>
      <c r="F1756" s="1454">
        <f t="shared" si="164"/>
        <v>1500</v>
      </c>
      <c r="G1756" s="1376">
        <f t="shared" si="165"/>
        <v>4500</v>
      </c>
    </row>
    <row r="1757" spans="1:7" s="413" customFormat="1">
      <c r="A1757" s="1389"/>
      <c r="B1757" s="1388" t="s">
        <v>637</v>
      </c>
      <c r="C1757" s="1389"/>
      <c r="D1757" s="1389" t="s">
        <v>291</v>
      </c>
      <c r="E1757" s="1390">
        <v>10</v>
      </c>
      <c r="F1757" s="1454">
        <f t="shared" si="164"/>
        <v>1500</v>
      </c>
      <c r="G1757" s="1376">
        <f t="shared" si="165"/>
        <v>15000</v>
      </c>
    </row>
    <row r="1758" spans="1:7" s="413" customFormat="1">
      <c r="A1758" s="1389"/>
      <c r="B1758" s="1457" t="s">
        <v>959</v>
      </c>
      <c r="C1758" s="1389"/>
      <c r="D1758" s="1389" t="s">
        <v>291</v>
      </c>
      <c r="E1758" s="1390">
        <v>1</v>
      </c>
      <c r="F1758" s="1454">
        <f>Bahan!E43</f>
        <v>5000</v>
      </c>
      <c r="G1758" s="1376">
        <f t="shared" si="165"/>
        <v>5000</v>
      </c>
    </row>
    <row r="1759" spans="1:7" s="413" customFormat="1">
      <c r="A1759" s="1389"/>
      <c r="B1759" s="1388" t="s">
        <v>536</v>
      </c>
      <c r="C1759" s="1389"/>
      <c r="D1759" s="1389" t="s">
        <v>274</v>
      </c>
      <c r="E1759" s="1390">
        <v>0.5</v>
      </c>
      <c r="F1759" s="1454">
        <f>F1733</f>
        <v>110</v>
      </c>
      <c r="G1759" s="1376">
        <f t="shared" si="165"/>
        <v>55</v>
      </c>
    </row>
    <row r="1760" spans="1:7" s="413" customFormat="1">
      <c r="A1760" s="1396" t="s">
        <v>642</v>
      </c>
      <c r="B1760" s="1397"/>
      <c r="C1760" s="1397"/>
      <c r="D1760" s="1398"/>
      <c r="E1760" s="1399"/>
      <c r="F1760" s="1424"/>
      <c r="G1760" s="1401">
        <f>SUM(G1753:G1759)</f>
        <v>149305</v>
      </c>
    </row>
    <row r="1761" spans="1:8" s="413" customFormat="1">
      <c r="A1761" s="1358" t="s">
        <v>264</v>
      </c>
      <c r="B1761" s="1359" t="s">
        <v>250</v>
      </c>
      <c r="C1761" s="1358"/>
      <c r="D1761" s="1358"/>
      <c r="E1761" s="1406"/>
      <c r="F1761" s="1451"/>
      <c r="G1761" s="1361"/>
    </row>
    <row r="1762" spans="1:8" s="413" customFormat="1">
      <c r="A1762" s="1396" t="s">
        <v>287</v>
      </c>
      <c r="B1762" s="1397"/>
      <c r="C1762" s="1397"/>
      <c r="D1762" s="1398"/>
      <c r="E1762" s="1399"/>
      <c r="F1762" s="1424"/>
      <c r="G1762" s="1401">
        <f>SUM(G1761)</f>
        <v>0</v>
      </c>
    </row>
    <row r="1763" spans="1:8" s="413" customFormat="1">
      <c r="A1763" s="1407" t="s">
        <v>281</v>
      </c>
      <c r="B1763" s="1408" t="s">
        <v>292</v>
      </c>
      <c r="C1763" s="1408"/>
      <c r="D1763" s="1407"/>
      <c r="E1763" s="1409"/>
      <c r="F1763" s="1427"/>
      <c r="G1763" s="1411">
        <f>G1751+G1760+G1762</f>
        <v>225195</v>
      </c>
    </row>
    <row r="1764" spans="1:8" s="413" customFormat="1">
      <c r="A1764" s="1412" t="s">
        <v>90</v>
      </c>
      <c r="B1764" s="1413" t="s">
        <v>293</v>
      </c>
      <c r="C1764" s="992"/>
      <c r="D1764" s="1414"/>
      <c r="E1764" s="970">
        <f>$I$2</f>
        <v>0.1</v>
      </c>
      <c r="F1764" s="967"/>
      <c r="G1764" s="968">
        <f>+G1763*E1764</f>
        <v>22519.5</v>
      </c>
    </row>
    <row r="1765" spans="1:8" s="413" customFormat="1">
      <c r="A1765" s="1415" t="s">
        <v>94</v>
      </c>
      <c r="B1765" s="1416" t="s">
        <v>86</v>
      </c>
      <c r="C1765" s="1416"/>
      <c r="D1765" s="1417"/>
      <c r="E1765" s="1418"/>
      <c r="F1765" s="1430"/>
      <c r="G1765" s="1420">
        <f>G1763+G1764</f>
        <v>247714.5</v>
      </c>
    </row>
    <row r="1766" spans="1:8" s="105" customFormat="1" ht="9" customHeight="1">
      <c r="A1766" s="977"/>
      <c r="B1766" s="1443"/>
      <c r="C1766" s="1443"/>
      <c r="D1766" s="1443"/>
      <c r="E1766" s="1444"/>
      <c r="F1766" s="1443"/>
      <c r="G1766" s="1445"/>
    </row>
    <row r="1767" spans="1:8" s="105" customFormat="1" ht="13.5" customHeight="1" thickBot="1">
      <c r="A1767" s="1446" t="s">
        <v>672</v>
      </c>
      <c r="B1767" s="1447"/>
      <c r="C1767" s="1447"/>
      <c r="D1767" s="1448"/>
      <c r="E1767" s="1449"/>
      <c r="F1767" s="1447"/>
      <c r="G1767" s="1450"/>
      <c r="H1767"/>
    </row>
    <row r="1768" spans="1:8" s="105" customFormat="1" ht="13.5" customHeight="1" thickTop="1">
      <c r="A1768" s="1797" t="s">
        <v>275</v>
      </c>
      <c r="B1768" s="1799" t="s">
        <v>295</v>
      </c>
      <c r="C1768" s="1799" t="s">
        <v>276</v>
      </c>
      <c r="D1768" s="1799" t="s">
        <v>277</v>
      </c>
      <c r="E1768" s="1801" t="s">
        <v>278</v>
      </c>
      <c r="F1768" s="916" t="s">
        <v>279</v>
      </c>
      <c r="G1768" s="916" t="s">
        <v>280</v>
      </c>
      <c r="H1768" s="103"/>
    </row>
    <row r="1769" spans="1:8" s="105" customFormat="1" ht="13.5" customHeight="1">
      <c r="A1769" s="1798"/>
      <c r="B1769" s="1800"/>
      <c r="C1769" s="1800"/>
      <c r="D1769" s="1800"/>
      <c r="E1769" s="1802"/>
      <c r="F1769" s="917" t="s">
        <v>67</v>
      </c>
      <c r="G1769" s="917" t="s">
        <v>67</v>
      </c>
      <c r="H1769" s="103"/>
    </row>
    <row r="1770" spans="1:8" s="105" customFormat="1" ht="13.5" customHeight="1">
      <c r="A1770" s="1382" t="s">
        <v>262</v>
      </c>
      <c r="B1770" s="1383" t="s">
        <v>631</v>
      </c>
      <c r="C1770" s="1382"/>
      <c r="D1770" s="1382"/>
      <c r="E1770" s="1384"/>
      <c r="F1770" s="1385"/>
      <c r="G1770" s="1386"/>
      <c r="H1770" s="103"/>
    </row>
    <row r="1771" spans="1:8" s="105" customFormat="1" ht="13.5" customHeight="1">
      <c r="A1771" s="1389"/>
      <c r="B1771" s="1388" t="s">
        <v>69</v>
      </c>
      <c r="C1771" s="1389" t="s">
        <v>70</v>
      </c>
      <c r="D1771" s="1389" t="s">
        <v>71</v>
      </c>
      <c r="E1771" s="1390">
        <v>3.1E-2</v>
      </c>
      <c r="F1771" s="1454">
        <f>F1719</f>
        <v>130000</v>
      </c>
      <c r="G1771" s="1376">
        <f>E1771*F1771</f>
        <v>4030</v>
      </c>
      <c r="H1771" s="103"/>
    </row>
    <row r="1772" spans="1:8" s="105" customFormat="1" ht="13.5" customHeight="1">
      <c r="A1772" s="1389"/>
      <c r="B1772" s="1388" t="s">
        <v>62</v>
      </c>
      <c r="C1772" s="1389" t="s">
        <v>72</v>
      </c>
      <c r="D1772" s="1389" t="s">
        <v>71</v>
      </c>
      <c r="E1772" s="1390">
        <v>5.1999999999999998E-2</v>
      </c>
      <c r="F1772" s="1454">
        <f>F1720</f>
        <v>140000</v>
      </c>
      <c r="G1772" s="1376">
        <f>E1772*F1772</f>
        <v>7280</v>
      </c>
      <c r="H1772" s="103"/>
    </row>
    <row r="1773" spans="1:8" s="105" customFormat="1" ht="13.5" customHeight="1">
      <c r="A1773" s="1389"/>
      <c r="B1773" s="1388" t="s">
        <v>73</v>
      </c>
      <c r="C1773" s="1389" t="s">
        <v>74</v>
      </c>
      <c r="D1773" s="1389" t="s">
        <v>71</v>
      </c>
      <c r="E1773" s="1390">
        <v>5.0000000000000001E-3</v>
      </c>
      <c r="F1773" s="1454">
        <f>F1721</f>
        <v>150000</v>
      </c>
      <c r="G1773" s="1376">
        <f>E1773*F1773</f>
        <v>750</v>
      </c>
      <c r="H1773" s="103"/>
    </row>
    <row r="1774" spans="1:8" s="105" customFormat="1" ht="13.5" customHeight="1">
      <c r="A1774" s="1393"/>
      <c r="B1774" s="1392" t="s">
        <v>50</v>
      </c>
      <c r="C1774" s="1393" t="s">
        <v>75</v>
      </c>
      <c r="D1774" s="1393" t="s">
        <v>71</v>
      </c>
      <c r="E1774" s="1394">
        <v>2E-3</v>
      </c>
      <c r="F1774" s="1455">
        <f>F1722</f>
        <v>170000</v>
      </c>
      <c r="G1774" s="1395">
        <f>E1774*F1774</f>
        <v>340</v>
      </c>
      <c r="H1774" s="103"/>
    </row>
    <row r="1775" spans="1:8" s="105" customFormat="1" ht="13.5" customHeight="1">
      <c r="A1775" s="1396" t="s">
        <v>632</v>
      </c>
      <c r="B1775" s="1397"/>
      <c r="C1775" s="1397"/>
      <c r="D1775" s="1398"/>
      <c r="E1775" s="1399"/>
      <c r="F1775" s="1424"/>
      <c r="G1775" s="1401">
        <f>SUM(G1771:G1774)</f>
        <v>12400</v>
      </c>
      <c r="H1775" s="103"/>
    </row>
    <row r="1776" spans="1:8" s="105" customFormat="1" ht="13.5" customHeight="1">
      <c r="A1776" s="1402" t="s">
        <v>263</v>
      </c>
      <c r="B1776" s="1403" t="s">
        <v>299</v>
      </c>
      <c r="C1776" s="1402"/>
      <c r="D1776" s="1402"/>
      <c r="E1776" s="1404"/>
      <c r="F1776" s="1422"/>
      <c r="G1776" s="1405"/>
      <c r="H1776" s="103"/>
    </row>
    <row r="1777" spans="1:8" s="105" customFormat="1" ht="13.5" customHeight="1">
      <c r="A1777" s="1393"/>
      <c r="B1777" s="1392" t="s">
        <v>659</v>
      </c>
      <c r="C1777" s="1393"/>
      <c r="D1777" s="1393" t="s">
        <v>291</v>
      </c>
      <c r="E1777" s="1394">
        <v>1.1000000000000001</v>
      </c>
      <c r="F1777" s="1455">
        <f>Bahan!E81</f>
        <v>27500</v>
      </c>
      <c r="G1777" s="1395">
        <f t="shared" ref="G1777" si="166">E1777*F1777</f>
        <v>30250.000000000004</v>
      </c>
      <c r="H1777" s="103"/>
    </row>
    <row r="1778" spans="1:8" s="105" customFormat="1" ht="13.5" customHeight="1">
      <c r="A1778" s="1396" t="s">
        <v>642</v>
      </c>
      <c r="B1778" s="1397"/>
      <c r="C1778" s="1397"/>
      <c r="D1778" s="1398"/>
      <c r="E1778" s="1399"/>
      <c r="F1778" s="1424"/>
      <c r="G1778" s="1401">
        <f>SUM(G1777)</f>
        <v>30250.000000000004</v>
      </c>
      <c r="H1778" s="103"/>
    </row>
    <row r="1779" spans="1:8" s="105" customFormat="1" ht="13.5" customHeight="1">
      <c r="A1779" s="1358" t="s">
        <v>264</v>
      </c>
      <c r="B1779" s="1359" t="s">
        <v>250</v>
      </c>
      <c r="C1779" s="1358"/>
      <c r="D1779" s="1358"/>
      <c r="E1779" s="1406"/>
      <c r="F1779" s="1451"/>
      <c r="G1779" s="1361"/>
      <c r="H1779" s="103"/>
    </row>
    <row r="1780" spans="1:8" s="105" customFormat="1" ht="13.5" customHeight="1">
      <c r="A1780" s="1396" t="s">
        <v>287</v>
      </c>
      <c r="B1780" s="1397"/>
      <c r="C1780" s="1397"/>
      <c r="D1780" s="1398"/>
      <c r="E1780" s="1399"/>
      <c r="F1780" s="1424"/>
      <c r="G1780" s="1401">
        <f>SUM(G1779)</f>
        <v>0</v>
      </c>
      <c r="H1780" s="103"/>
    </row>
    <row r="1781" spans="1:8" s="105" customFormat="1" ht="13.5" customHeight="1">
      <c r="A1781" s="1407" t="s">
        <v>281</v>
      </c>
      <c r="B1781" s="1408" t="s">
        <v>292</v>
      </c>
      <c r="C1781" s="1408"/>
      <c r="D1781" s="1407"/>
      <c r="E1781" s="1409"/>
      <c r="F1781" s="1427"/>
      <c r="G1781" s="1411">
        <f>G1775+G1778+G1780</f>
        <v>42650</v>
      </c>
      <c r="H1781" s="103"/>
    </row>
    <row r="1782" spans="1:8" s="105" customFormat="1" ht="13.5" customHeight="1">
      <c r="A1782" s="1412" t="s">
        <v>90</v>
      </c>
      <c r="B1782" s="1413" t="s">
        <v>293</v>
      </c>
      <c r="C1782" s="992"/>
      <c r="D1782" s="1414"/>
      <c r="E1782" s="970">
        <f>$I$2</f>
        <v>0.1</v>
      </c>
      <c r="F1782" s="967"/>
      <c r="G1782" s="968">
        <f>+G1781*E1782</f>
        <v>4265</v>
      </c>
      <c r="H1782" s="103"/>
    </row>
    <row r="1783" spans="1:8" s="105" customFormat="1" ht="13.5" customHeight="1">
      <c r="A1783" s="1415" t="s">
        <v>94</v>
      </c>
      <c r="B1783" s="1416" t="s">
        <v>86</v>
      </c>
      <c r="C1783" s="1416"/>
      <c r="D1783" s="1417"/>
      <c r="E1783" s="1418"/>
      <c r="F1783" s="1430"/>
      <c r="G1783" s="1420">
        <f>G1781+G1782</f>
        <v>46915</v>
      </c>
      <c r="H1783" s="103"/>
    </row>
    <row r="1784" spans="1:8" s="9" customFormat="1" ht="13.5" customHeight="1">
      <c r="A1784" s="1431"/>
      <c r="B1784" s="977"/>
      <c r="C1784" s="977"/>
      <c r="D1784" s="1432"/>
      <c r="E1784" s="1433"/>
      <c r="F1784" s="977"/>
      <c r="G1784" s="1435"/>
    </row>
    <row r="1785" spans="1:8" s="896" customFormat="1" ht="13.5" customHeight="1" thickBot="1">
      <c r="A1785" s="1458" t="s">
        <v>660</v>
      </c>
      <c r="B1785" s="1459"/>
      <c r="C1785" s="1459"/>
      <c r="D1785" s="1460"/>
      <c r="E1785" s="1461"/>
      <c r="F1785" s="1459"/>
      <c r="G1785" s="1462"/>
    </row>
    <row r="1786" spans="1:8" s="413" customFormat="1" ht="13.5" customHeight="1" thickTop="1">
      <c r="A1786" s="1797" t="s">
        <v>275</v>
      </c>
      <c r="B1786" s="1799" t="s">
        <v>295</v>
      </c>
      <c r="C1786" s="1799" t="s">
        <v>276</v>
      </c>
      <c r="D1786" s="1799" t="s">
        <v>277</v>
      </c>
      <c r="E1786" s="1801" t="s">
        <v>278</v>
      </c>
      <c r="F1786" s="916" t="s">
        <v>279</v>
      </c>
      <c r="G1786" s="916" t="s">
        <v>280</v>
      </c>
    </row>
    <row r="1787" spans="1:8" s="413" customFormat="1" ht="13.5" customHeight="1">
      <c r="A1787" s="1798"/>
      <c r="B1787" s="1800"/>
      <c r="C1787" s="1800"/>
      <c r="D1787" s="1800"/>
      <c r="E1787" s="1802"/>
      <c r="F1787" s="917" t="s">
        <v>67</v>
      </c>
      <c r="G1787" s="917" t="s">
        <v>67</v>
      </c>
    </row>
    <row r="1788" spans="1:8" s="413" customFormat="1" ht="13.5" customHeight="1">
      <c r="A1788" s="1382" t="s">
        <v>262</v>
      </c>
      <c r="B1788" s="1383" t="s">
        <v>631</v>
      </c>
      <c r="C1788" s="1382"/>
      <c r="D1788" s="1382"/>
      <c r="E1788" s="1384"/>
      <c r="F1788" s="1385"/>
      <c r="G1788" s="1386"/>
    </row>
    <row r="1789" spans="1:8" s="413" customFormat="1" ht="13.5" customHeight="1">
      <c r="A1789" s="1389"/>
      <c r="B1789" s="1388" t="s">
        <v>69</v>
      </c>
      <c r="C1789" s="1389" t="s">
        <v>70</v>
      </c>
      <c r="D1789" s="1389" t="s">
        <v>71</v>
      </c>
      <c r="E1789" s="1390">
        <v>3.1E-2</v>
      </c>
      <c r="F1789" s="1454">
        <f>F1771</f>
        <v>130000</v>
      </c>
      <c r="G1789" s="1376">
        <f>E1789*F1789</f>
        <v>4030</v>
      </c>
    </row>
    <row r="1790" spans="1:8" s="413" customFormat="1" ht="13.5" customHeight="1">
      <c r="A1790" s="1389"/>
      <c r="B1790" s="1388" t="s">
        <v>62</v>
      </c>
      <c r="C1790" s="1389" t="s">
        <v>72</v>
      </c>
      <c r="D1790" s="1389" t="s">
        <v>71</v>
      </c>
      <c r="E1790" s="1390">
        <v>5.1999999999999998E-2</v>
      </c>
      <c r="F1790" s="1454">
        <f>F1772</f>
        <v>140000</v>
      </c>
      <c r="G1790" s="1376">
        <f>E1790*F1790</f>
        <v>7280</v>
      </c>
    </row>
    <row r="1791" spans="1:8" s="413" customFormat="1" ht="13.5" customHeight="1">
      <c r="A1791" s="1389"/>
      <c r="B1791" s="1388" t="s">
        <v>73</v>
      </c>
      <c r="C1791" s="1389" t="s">
        <v>74</v>
      </c>
      <c r="D1791" s="1389" t="s">
        <v>71</v>
      </c>
      <c r="E1791" s="1390">
        <v>5.0000000000000001E-3</v>
      </c>
      <c r="F1791" s="1454">
        <f>F1773</f>
        <v>150000</v>
      </c>
      <c r="G1791" s="1376">
        <f>E1791*F1791</f>
        <v>750</v>
      </c>
    </row>
    <row r="1792" spans="1:8" s="413" customFormat="1" ht="13.5" customHeight="1">
      <c r="A1792" s="1393"/>
      <c r="B1792" s="1392" t="s">
        <v>50</v>
      </c>
      <c r="C1792" s="1393" t="s">
        <v>75</v>
      </c>
      <c r="D1792" s="1393" t="s">
        <v>71</v>
      </c>
      <c r="E1792" s="1394">
        <v>2E-3</v>
      </c>
      <c r="F1792" s="1455">
        <f>F1774</f>
        <v>170000</v>
      </c>
      <c r="G1792" s="1395">
        <f>E1792*F1792</f>
        <v>340</v>
      </c>
    </row>
    <row r="1793" spans="1:8" s="413" customFormat="1" ht="13.5" customHeight="1">
      <c r="A1793" s="1396" t="s">
        <v>632</v>
      </c>
      <c r="B1793" s="1397"/>
      <c r="C1793" s="1397"/>
      <c r="D1793" s="1398"/>
      <c r="E1793" s="1399"/>
      <c r="F1793" s="1424"/>
      <c r="G1793" s="1401">
        <f>SUM(G1789:G1792)</f>
        <v>12400</v>
      </c>
    </row>
    <row r="1794" spans="1:8" s="413" customFormat="1" ht="13.5" customHeight="1">
      <c r="A1794" s="1402" t="s">
        <v>263</v>
      </c>
      <c r="B1794" s="1403" t="s">
        <v>299</v>
      </c>
      <c r="C1794" s="1402"/>
      <c r="D1794" s="1402"/>
      <c r="E1794" s="1404"/>
      <c r="F1794" s="1422"/>
      <c r="G1794" s="1405"/>
    </row>
    <row r="1795" spans="1:8" s="413" customFormat="1" ht="13.5" customHeight="1">
      <c r="A1795" s="1393"/>
      <c r="B1795" s="1392" t="s">
        <v>661</v>
      </c>
      <c r="C1795" s="1393"/>
      <c r="D1795" s="1393" t="s">
        <v>291</v>
      </c>
      <c r="E1795" s="1394">
        <v>1.1000000000000001</v>
      </c>
      <c r="F1795" s="1455">
        <f>Bahan!E82</f>
        <v>32500</v>
      </c>
      <c r="G1795" s="1395">
        <f t="shared" ref="G1795" si="167">E1795*F1795</f>
        <v>35750</v>
      </c>
    </row>
    <row r="1796" spans="1:8" s="413" customFormat="1" ht="13.5" customHeight="1">
      <c r="A1796" s="1396" t="s">
        <v>642</v>
      </c>
      <c r="B1796" s="1397"/>
      <c r="C1796" s="1397"/>
      <c r="D1796" s="1398"/>
      <c r="E1796" s="1399"/>
      <c r="F1796" s="1424"/>
      <c r="G1796" s="1401">
        <f>SUM(G1795)</f>
        <v>35750</v>
      </c>
    </row>
    <row r="1797" spans="1:8" s="413" customFormat="1" ht="13.5" customHeight="1">
      <c r="A1797" s="1358" t="s">
        <v>264</v>
      </c>
      <c r="B1797" s="1359" t="s">
        <v>250</v>
      </c>
      <c r="C1797" s="1358"/>
      <c r="D1797" s="1358"/>
      <c r="E1797" s="1406"/>
      <c r="F1797" s="1451"/>
      <c r="G1797" s="1361"/>
    </row>
    <row r="1798" spans="1:8" s="413" customFormat="1" ht="13.5" customHeight="1">
      <c r="A1798" s="1396" t="s">
        <v>287</v>
      </c>
      <c r="B1798" s="1397"/>
      <c r="C1798" s="1397"/>
      <c r="D1798" s="1398"/>
      <c r="E1798" s="1399"/>
      <c r="F1798" s="1424"/>
      <c r="G1798" s="1401">
        <f>SUM(G1797)</f>
        <v>0</v>
      </c>
    </row>
    <row r="1799" spans="1:8" s="413" customFormat="1" ht="13.5" customHeight="1">
      <c r="A1799" s="1407" t="s">
        <v>281</v>
      </c>
      <c r="B1799" s="1408" t="s">
        <v>292</v>
      </c>
      <c r="C1799" s="1408"/>
      <c r="D1799" s="1407"/>
      <c r="E1799" s="1409"/>
      <c r="F1799" s="1427"/>
      <c r="G1799" s="1411">
        <f>G1793+G1796+G1798</f>
        <v>48150</v>
      </c>
    </row>
    <row r="1800" spans="1:8" s="413" customFormat="1" ht="13.5" customHeight="1">
      <c r="A1800" s="1412" t="s">
        <v>90</v>
      </c>
      <c r="B1800" s="1413" t="s">
        <v>293</v>
      </c>
      <c r="C1800" s="992"/>
      <c r="D1800" s="1414"/>
      <c r="E1800" s="970">
        <f>$I$2</f>
        <v>0.1</v>
      </c>
      <c r="F1800" s="967"/>
      <c r="G1800" s="968">
        <f>+G1799*E1800</f>
        <v>4815</v>
      </c>
    </row>
    <row r="1801" spans="1:8" s="413" customFormat="1" ht="13.5" customHeight="1">
      <c r="A1801" s="1415" t="s">
        <v>94</v>
      </c>
      <c r="B1801" s="1416" t="s">
        <v>86</v>
      </c>
      <c r="C1801" s="1416"/>
      <c r="D1801" s="1417"/>
      <c r="E1801" s="1418"/>
      <c r="F1801" s="1430"/>
      <c r="G1801" s="1420">
        <f>G1799+G1800</f>
        <v>52965</v>
      </c>
    </row>
    <row r="1802" spans="1:8" s="105" customFormat="1" ht="13.5" customHeight="1">
      <c r="A1802" s="980"/>
      <c r="B1802" s="980"/>
      <c r="C1802" s="980"/>
      <c r="D1802" s="980"/>
      <c r="E1802" s="1356"/>
      <c r="F1802" s="980"/>
      <c r="G1802" s="1357"/>
      <c r="H1802" s="103"/>
    </row>
    <row r="1803" spans="1:8" s="413" customFormat="1" ht="13.5" customHeight="1" thickBot="1">
      <c r="A1803" s="1397" t="s">
        <v>663</v>
      </c>
      <c r="B1803" s="1463"/>
      <c r="C1803" s="1463"/>
      <c r="D1803" s="1464"/>
      <c r="E1803" s="1465"/>
      <c r="F1803" s="1463"/>
      <c r="G1803" s="1466"/>
    </row>
    <row r="1804" spans="1:8" s="413" customFormat="1" ht="13.5" customHeight="1" thickTop="1">
      <c r="A1804" s="1797" t="s">
        <v>275</v>
      </c>
      <c r="B1804" s="1799" t="s">
        <v>295</v>
      </c>
      <c r="C1804" s="1799" t="s">
        <v>276</v>
      </c>
      <c r="D1804" s="1799" t="s">
        <v>277</v>
      </c>
      <c r="E1804" s="1801" t="s">
        <v>278</v>
      </c>
      <c r="F1804" s="916" t="s">
        <v>279</v>
      </c>
      <c r="G1804" s="916" t="s">
        <v>280</v>
      </c>
    </row>
    <row r="1805" spans="1:8" s="413" customFormat="1" ht="13.5" customHeight="1">
      <c r="A1805" s="1798"/>
      <c r="B1805" s="1800"/>
      <c r="C1805" s="1800"/>
      <c r="D1805" s="1800"/>
      <c r="E1805" s="1802"/>
      <c r="F1805" s="917" t="s">
        <v>67</v>
      </c>
      <c r="G1805" s="917" t="s">
        <v>67</v>
      </c>
    </row>
    <row r="1806" spans="1:8" s="413" customFormat="1" ht="13.5" customHeight="1">
      <c r="A1806" s="1382" t="s">
        <v>262</v>
      </c>
      <c r="B1806" s="1383" t="s">
        <v>631</v>
      </c>
      <c r="C1806" s="1382"/>
      <c r="D1806" s="1382"/>
      <c r="E1806" s="1384"/>
      <c r="F1806" s="1385"/>
      <c r="G1806" s="1361"/>
    </row>
    <row r="1807" spans="1:8" s="413" customFormat="1" ht="13.5" customHeight="1">
      <c r="A1807" s="1389"/>
      <c r="B1807" s="1388" t="s">
        <v>69</v>
      </c>
      <c r="C1807" s="1389" t="s">
        <v>70</v>
      </c>
      <c r="D1807" s="1389" t="s">
        <v>71</v>
      </c>
      <c r="E1807" s="1390">
        <v>2.5999999999999999E-2</v>
      </c>
      <c r="F1807" s="1454">
        <f>F1789</f>
        <v>130000</v>
      </c>
      <c r="G1807" s="1376">
        <f>E1807*F1807</f>
        <v>3380</v>
      </c>
    </row>
    <row r="1808" spans="1:8" s="413" customFormat="1" ht="13.5" customHeight="1">
      <c r="A1808" s="1389"/>
      <c r="B1808" s="1388" t="s">
        <v>62</v>
      </c>
      <c r="C1808" s="1389" t="s">
        <v>72</v>
      </c>
      <c r="D1808" s="1389" t="s">
        <v>71</v>
      </c>
      <c r="E1808" s="1390">
        <v>4.3999999999999997E-2</v>
      </c>
      <c r="F1808" s="1454">
        <f t="shared" ref="F1808:F1810" si="168">F1790</f>
        <v>140000</v>
      </c>
      <c r="G1808" s="1376">
        <f>E1808*F1808</f>
        <v>6160</v>
      </c>
    </row>
    <row r="1809" spans="1:8" s="413" customFormat="1" ht="13.5" customHeight="1">
      <c r="A1809" s="1389"/>
      <c r="B1809" s="1388" t="s">
        <v>73</v>
      </c>
      <c r="C1809" s="1389" t="s">
        <v>74</v>
      </c>
      <c r="D1809" s="1389" t="s">
        <v>71</v>
      </c>
      <c r="E1809" s="1390">
        <v>4.0000000000000001E-3</v>
      </c>
      <c r="F1809" s="1454">
        <f t="shared" si="168"/>
        <v>150000</v>
      </c>
      <c r="G1809" s="1376">
        <f>E1809*F1809</f>
        <v>600</v>
      </c>
    </row>
    <row r="1810" spans="1:8" s="413" customFormat="1" ht="13.5" customHeight="1">
      <c r="A1810" s="1393"/>
      <c r="B1810" s="1392" t="s">
        <v>50</v>
      </c>
      <c r="C1810" s="1393" t="s">
        <v>75</v>
      </c>
      <c r="D1810" s="1393" t="s">
        <v>71</v>
      </c>
      <c r="E1810" s="1394">
        <v>1E-3</v>
      </c>
      <c r="F1810" s="1455">
        <f t="shared" si="168"/>
        <v>170000</v>
      </c>
      <c r="G1810" s="1376">
        <f>E1810*F1810</f>
        <v>170</v>
      </c>
    </row>
    <row r="1811" spans="1:8" s="413" customFormat="1" ht="13.5" customHeight="1">
      <c r="A1811" s="1396" t="s">
        <v>632</v>
      </c>
      <c r="B1811" s="1397"/>
      <c r="C1811" s="1397"/>
      <c r="D1811" s="1398"/>
      <c r="E1811" s="1399"/>
      <c r="F1811" s="1424"/>
      <c r="G1811" s="1401">
        <f>SUM(G1807:G1810)</f>
        <v>10310</v>
      </c>
    </row>
    <row r="1812" spans="1:8" s="413" customFormat="1" ht="13.5" customHeight="1">
      <c r="A1812" s="1358" t="s">
        <v>263</v>
      </c>
      <c r="B1812" s="1359" t="s">
        <v>299</v>
      </c>
      <c r="C1812" s="1358"/>
      <c r="D1812" s="1358"/>
      <c r="E1812" s="1406"/>
      <c r="F1812" s="1451"/>
      <c r="G1812" s="1361"/>
    </row>
    <row r="1813" spans="1:8" s="413" customFormat="1" ht="13.5" customHeight="1">
      <c r="A1813" s="1358"/>
      <c r="B1813" s="1359" t="s">
        <v>662</v>
      </c>
      <c r="C1813" s="1358"/>
      <c r="D1813" s="1358" t="s">
        <v>291</v>
      </c>
      <c r="E1813" s="1406">
        <v>1.1000000000000001</v>
      </c>
      <c r="F1813" s="1454">
        <f>Bahan!E83</f>
        <v>35000</v>
      </c>
      <c r="G1813" s="1376">
        <f t="shared" ref="G1813" si="169">E1813*F1813</f>
        <v>38500</v>
      </c>
    </row>
    <row r="1814" spans="1:8" s="413" customFormat="1" ht="13.5" customHeight="1">
      <c r="A1814" s="1396" t="s">
        <v>642</v>
      </c>
      <c r="B1814" s="1397"/>
      <c r="C1814" s="1397"/>
      <c r="D1814" s="1398"/>
      <c r="E1814" s="1399"/>
      <c r="F1814" s="1424"/>
      <c r="G1814" s="1401">
        <f>SUM(G1813)</f>
        <v>38500</v>
      </c>
    </row>
    <row r="1815" spans="1:8" s="413" customFormat="1" ht="13.5" customHeight="1">
      <c r="A1815" s="1358" t="s">
        <v>264</v>
      </c>
      <c r="B1815" s="1359" t="s">
        <v>250</v>
      </c>
      <c r="C1815" s="1358"/>
      <c r="D1815" s="1358"/>
      <c r="E1815" s="1406"/>
      <c r="F1815" s="1451"/>
      <c r="G1815" s="1361"/>
    </row>
    <row r="1816" spans="1:8" s="413" customFormat="1" ht="13.5" customHeight="1">
      <c r="A1816" s="1396" t="s">
        <v>287</v>
      </c>
      <c r="B1816" s="1397"/>
      <c r="C1816" s="1397"/>
      <c r="D1816" s="1398"/>
      <c r="E1816" s="1399"/>
      <c r="F1816" s="1424"/>
      <c r="G1816" s="1401">
        <f>SUM(G1815)</f>
        <v>0</v>
      </c>
    </row>
    <row r="1817" spans="1:8" s="413" customFormat="1" ht="13.5" customHeight="1">
      <c r="A1817" s="1407" t="s">
        <v>281</v>
      </c>
      <c r="B1817" s="1408" t="s">
        <v>292</v>
      </c>
      <c r="C1817" s="1408"/>
      <c r="D1817" s="1407"/>
      <c r="E1817" s="1409"/>
      <c r="F1817" s="1427"/>
      <c r="G1817" s="1411">
        <f>G1811+G1814+G1816</f>
        <v>48810</v>
      </c>
    </row>
    <row r="1818" spans="1:8" s="413" customFormat="1" ht="13.5" customHeight="1">
      <c r="A1818" s="1412" t="s">
        <v>90</v>
      </c>
      <c r="B1818" s="1413" t="s">
        <v>293</v>
      </c>
      <c r="C1818" s="992"/>
      <c r="D1818" s="1414"/>
      <c r="E1818" s="970">
        <f>$I$2</f>
        <v>0.1</v>
      </c>
      <c r="F1818" s="967"/>
      <c r="G1818" s="968">
        <f>+G1817*E1818</f>
        <v>4881</v>
      </c>
    </row>
    <row r="1819" spans="1:8" s="413" customFormat="1" ht="13.5" customHeight="1">
      <c r="A1819" s="1415" t="s">
        <v>94</v>
      </c>
      <c r="B1819" s="1416" t="s">
        <v>86</v>
      </c>
      <c r="C1819" s="1416"/>
      <c r="D1819" s="1417"/>
      <c r="E1819" s="1418"/>
      <c r="F1819" s="1430"/>
      <c r="G1819" s="1420">
        <f>G1817+G1818</f>
        <v>53691</v>
      </c>
    </row>
    <row r="1820" spans="1:8" s="105" customFormat="1" ht="13.5" customHeight="1">
      <c r="A1820" s="1467"/>
      <c r="B1820" s="1467"/>
      <c r="C1820" s="1467"/>
      <c r="D1820" s="1467"/>
      <c r="E1820" s="1468"/>
      <c r="F1820" s="1467"/>
      <c r="G1820" s="1469"/>
      <c r="H1820" s="103"/>
    </row>
    <row r="1821" spans="1:8" s="105" customFormat="1" ht="13.5" customHeight="1" thickBot="1">
      <c r="A1821" s="1446" t="s">
        <v>664</v>
      </c>
      <c r="B1821" s="1447"/>
      <c r="C1821" s="1447"/>
      <c r="D1821" s="1448"/>
      <c r="E1821" s="1449"/>
      <c r="F1821" s="1447"/>
      <c r="G1821" s="1450"/>
    </row>
    <row r="1822" spans="1:8" s="105" customFormat="1" ht="13.5" customHeight="1" thickTop="1">
      <c r="A1822" s="1797" t="s">
        <v>275</v>
      </c>
      <c r="B1822" s="1799" t="s">
        <v>295</v>
      </c>
      <c r="C1822" s="1799" t="s">
        <v>276</v>
      </c>
      <c r="D1822" s="1799" t="s">
        <v>277</v>
      </c>
      <c r="E1822" s="1801" t="s">
        <v>278</v>
      </c>
      <c r="F1822" s="916" t="s">
        <v>279</v>
      </c>
      <c r="G1822" s="916" t="s">
        <v>280</v>
      </c>
    </row>
    <row r="1823" spans="1:8" s="105" customFormat="1" ht="13.5" customHeight="1">
      <c r="A1823" s="1798"/>
      <c r="B1823" s="1800"/>
      <c r="C1823" s="1800"/>
      <c r="D1823" s="1800"/>
      <c r="E1823" s="1802"/>
      <c r="F1823" s="917" t="s">
        <v>67</v>
      </c>
      <c r="G1823" s="917" t="s">
        <v>67</v>
      </c>
    </row>
    <row r="1824" spans="1:8" s="105" customFormat="1" ht="13.5" customHeight="1">
      <c r="A1824" s="1382" t="s">
        <v>262</v>
      </c>
      <c r="B1824" s="1383" t="s">
        <v>631</v>
      </c>
      <c r="C1824" s="1382"/>
      <c r="D1824" s="1382"/>
      <c r="E1824" s="1384"/>
      <c r="F1824" s="1385"/>
      <c r="G1824" s="1361"/>
    </row>
    <row r="1825" spans="1:7" s="105" customFormat="1" ht="13.5" customHeight="1">
      <c r="A1825" s="1389"/>
      <c r="B1825" s="1388" t="s">
        <v>69</v>
      </c>
      <c r="C1825" s="1389" t="s">
        <v>70</v>
      </c>
      <c r="D1825" s="1389" t="s">
        <v>71</v>
      </c>
      <c r="E1825" s="1390">
        <v>2.5999999999999999E-2</v>
      </c>
      <c r="F1825" s="1454">
        <f>F1807</f>
        <v>130000</v>
      </c>
      <c r="G1825" s="1376">
        <f>E1825*F1825</f>
        <v>3380</v>
      </c>
    </row>
    <row r="1826" spans="1:7" s="105" customFormat="1" ht="13.5" customHeight="1">
      <c r="A1826" s="1389"/>
      <c r="B1826" s="1388" t="s">
        <v>62</v>
      </c>
      <c r="C1826" s="1389" t="s">
        <v>72</v>
      </c>
      <c r="D1826" s="1389" t="s">
        <v>71</v>
      </c>
      <c r="E1826" s="1390">
        <v>4.3999999999999997E-2</v>
      </c>
      <c r="F1826" s="1454">
        <f>F1808</f>
        <v>140000</v>
      </c>
      <c r="G1826" s="1376">
        <f>E1826*F1826</f>
        <v>6160</v>
      </c>
    </row>
    <row r="1827" spans="1:7" s="105" customFormat="1" ht="13.5" customHeight="1">
      <c r="A1827" s="1389"/>
      <c r="B1827" s="1388" t="s">
        <v>73</v>
      </c>
      <c r="C1827" s="1389" t="s">
        <v>74</v>
      </c>
      <c r="D1827" s="1389" t="s">
        <v>71</v>
      </c>
      <c r="E1827" s="1390">
        <v>4.0000000000000001E-3</v>
      </c>
      <c r="F1827" s="1454">
        <f>F1809</f>
        <v>150000</v>
      </c>
      <c r="G1827" s="1376">
        <f>E1827*F1827</f>
        <v>600</v>
      </c>
    </row>
    <row r="1828" spans="1:7" s="105" customFormat="1" ht="13.5" customHeight="1">
      <c r="A1828" s="1393"/>
      <c r="B1828" s="1392" t="s">
        <v>50</v>
      </c>
      <c r="C1828" s="1393" t="s">
        <v>75</v>
      </c>
      <c r="D1828" s="1393" t="s">
        <v>71</v>
      </c>
      <c r="E1828" s="1394">
        <v>1E-3</v>
      </c>
      <c r="F1828" s="1455">
        <f>F1810</f>
        <v>170000</v>
      </c>
      <c r="G1828" s="1376">
        <f>E1828*F1828</f>
        <v>170</v>
      </c>
    </row>
    <row r="1829" spans="1:7" s="105" customFormat="1" ht="13.5" customHeight="1">
      <c r="A1829" s="1396" t="s">
        <v>632</v>
      </c>
      <c r="B1829" s="1397"/>
      <c r="C1829" s="1397"/>
      <c r="D1829" s="1398"/>
      <c r="E1829" s="1399"/>
      <c r="F1829" s="1424"/>
      <c r="G1829" s="1401">
        <f>SUM(G1825:G1828)</f>
        <v>10310</v>
      </c>
    </row>
    <row r="1830" spans="1:7" s="105" customFormat="1" ht="13.5" customHeight="1">
      <c r="A1830" s="1358" t="s">
        <v>263</v>
      </c>
      <c r="B1830" s="1359" t="s">
        <v>299</v>
      </c>
      <c r="C1830" s="1358"/>
      <c r="D1830" s="1358"/>
      <c r="E1830" s="1406"/>
      <c r="F1830" s="1451"/>
      <c r="G1830" s="1361"/>
    </row>
    <row r="1831" spans="1:7" s="105" customFormat="1" ht="13.5" customHeight="1">
      <c r="A1831" s="1358"/>
      <c r="B1831" s="1359" t="s">
        <v>662</v>
      </c>
      <c r="C1831" s="1358"/>
      <c r="D1831" s="1358" t="s">
        <v>291</v>
      </c>
      <c r="E1831" s="1406">
        <v>1.1000000000000001</v>
      </c>
      <c r="F1831" s="1454">
        <f>Bahan!E84</f>
        <v>65000</v>
      </c>
      <c r="G1831" s="1376">
        <f t="shared" ref="G1831" si="170">E1831*F1831</f>
        <v>71500</v>
      </c>
    </row>
    <row r="1832" spans="1:7" s="105" customFormat="1" ht="13.5" customHeight="1">
      <c r="A1832" s="1396" t="s">
        <v>642</v>
      </c>
      <c r="B1832" s="1397"/>
      <c r="C1832" s="1397"/>
      <c r="D1832" s="1398"/>
      <c r="E1832" s="1399"/>
      <c r="F1832" s="1424"/>
      <c r="G1832" s="1401">
        <f>SUM(G1831)</f>
        <v>71500</v>
      </c>
    </row>
    <row r="1833" spans="1:7" s="105" customFormat="1" ht="13.5" customHeight="1">
      <c r="A1833" s="1358" t="s">
        <v>264</v>
      </c>
      <c r="B1833" s="1359" t="s">
        <v>250</v>
      </c>
      <c r="C1833" s="1358"/>
      <c r="D1833" s="1358"/>
      <c r="E1833" s="1406"/>
      <c r="F1833" s="1451"/>
      <c r="G1833" s="1361"/>
    </row>
    <row r="1834" spans="1:7" s="105" customFormat="1" ht="13.5" customHeight="1">
      <c r="A1834" s="1396" t="s">
        <v>287</v>
      </c>
      <c r="B1834" s="1397"/>
      <c r="C1834" s="1397"/>
      <c r="D1834" s="1398"/>
      <c r="E1834" s="1399"/>
      <c r="F1834" s="1424"/>
      <c r="G1834" s="1401">
        <f>SUM(G1833)</f>
        <v>0</v>
      </c>
    </row>
    <row r="1835" spans="1:7" s="105" customFormat="1" ht="13.5" customHeight="1">
      <c r="A1835" s="1407" t="s">
        <v>281</v>
      </c>
      <c r="B1835" s="1408" t="s">
        <v>292</v>
      </c>
      <c r="C1835" s="1408"/>
      <c r="D1835" s="1407"/>
      <c r="E1835" s="1409"/>
      <c r="F1835" s="1427"/>
      <c r="G1835" s="1411">
        <f>G1829+G1832+G1834</f>
        <v>81810</v>
      </c>
    </row>
    <row r="1836" spans="1:7" s="105" customFormat="1" ht="13.5" customHeight="1">
      <c r="A1836" s="1412" t="s">
        <v>90</v>
      </c>
      <c r="B1836" s="1413" t="s">
        <v>293</v>
      </c>
      <c r="C1836" s="992"/>
      <c r="D1836" s="1414"/>
      <c r="E1836" s="970">
        <f>$I$2</f>
        <v>0.1</v>
      </c>
      <c r="F1836" s="967"/>
      <c r="G1836" s="968">
        <f>+G1835*E1836</f>
        <v>8181</v>
      </c>
    </row>
    <row r="1837" spans="1:7" s="105" customFormat="1" ht="13.5" customHeight="1">
      <c r="A1837" s="1415" t="s">
        <v>94</v>
      </c>
      <c r="B1837" s="1416" t="s">
        <v>86</v>
      </c>
      <c r="C1837" s="1416"/>
      <c r="D1837" s="1417"/>
      <c r="E1837" s="1418"/>
      <c r="F1837" s="1430"/>
      <c r="G1837" s="1420">
        <f>G1835+G1836</f>
        <v>89991</v>
      </c>
    </row>
    <row r="1838" spans="1:7" s="105" customFormat="1" ht="14.25" customHeight="1">
      <c r="A1838" s="1467"/>
      <c r="B1838" s="1467"/>
      <c r="C1838" s="1467"/>
      <c r="D1838" s="1467"/>
      <c r="E1838" s="1468"/>
      <c r="F1838" s="1467"/>
      <c r="G1838" s="1469"/>
    </row>
    <row r="1839" spans="1:7" s="111" customFormat="1" ht="14.25" customHeight="1">
      <c r="A1839" s="1443"/>
      <c r="B1839" s="1443"/>
      <c r="C1839" s="1443"/>
      <c r="D1839" s="1443"/>
      <c r="E1839" s="1444"/>
      <c r="F1839" s="1443"/>
      <c r="G1839" s="1445"/>
    </row>
    <row r="1840" spans="1:7" s="111" customFormat="1" ht="14.25" customHeight="1">
      <c r="A1840" s="1443"/>
      <c r="B1840" s="1443"/>
      <c r="C1840" s="1443"/>
      <c r="D1840" s="1443"/>
      <c r="E1840" s="1444"/>
      <c r="F1840" s="1443"/>
      <c r="G1840" s="1445"/>
    </row>
    <row r="1841" spans="1:7" s="413" customFormat="1" ht="15" thickBot="1">
      <c r="A1841" s="1458" t="s">
        <v>665</v>
      </c>
      <c r="B1841" s="1459"/>
      <c r="C1841" s="1459"/>
      <c r="D1841" s="1460"/>
      <c r="E1841" s="1461"/>
      <c r="F1841" s="1459"/>
      <c r="G1841" s="1462"/>
    </row>
    <row r="1842" spans="1:7" s="413" customFormat="1" ht="15" thickTop="1">
      <c r="A1842" s="1797" t="s">
        <v>275</v>
      </c>
      <c r="B1842" s="1799" t="s">
        <v>295</v>
      </c>
      <c r="C1842" s="1799" t="s">
        <v>276</v>
      </c>
      <c r="D1842" s="1799" t="s">
        <v>277</v>
      </c>
      <c r="E1842" s="1801" t="s">
        <v>278</v>
      </c>
      <c r="F1842" s="916" t="s">
        <v>279</v>
      </c>
      <c r="G1842" s="916" t="s">
        <v>280</v>
      </c>
    </row>
    <row r="1843" spans="1:7" s="413" customFormat="1">
      <c r="A1843" s="1798"/>
      <c r="B1843" s="1800"/>
      <c r="C1843" s="1800"/>
      <c r="D1843" s="1800"/>
      <c r="E1843" s="1802"/>
      <c r="F1843" s="917" t="s">
        <v>67</v>
      </c>
      <c r="G1843" s="917" t="s">
        <v>67</v>
      </c>
    </row>
    <row r="1844" spans="1:7" s="413" customFormat="1">
      <c r="A1844" s="1358" t="s">
        <v>262</v>
      </c>
      <c r="B1844" s="1359" t="s">
        <v>631</v>
      </c>
      <c r="C1844" s="1358"/>
      <c r="D1844" s="1358"/>
      <c r="E1844" s="1406"/>
      <c r="F1844" s="1451"/>
      <c r="G1844" s="1361"/>
    </row>
    <row r="1845" spans="1:7" s="413" customFormat="1">
      <c r="A1845" s="1358"/>
      <c r="B1845" s="1359" t="s">
        <v>69</v>
      </c>
      <c r="C1845" s="1358" t="s">
        <v>70</v>
      </c>
      <c r="D1845" s="1358" t="s">
        <v>71</v>
      </c>
      <c r="E1845" s="1406">
        <v>3.7999999999999999E-2</v>
      </c>
      <c r="F1845" s="1454">
        <f>F1825</f>
        <v>130000</v>
      </c>
      <c r="G1845" s="1376">
        <f>E1845*F1845</f>
        <v>4940</v>
      </c>
    </row>
    <row r="1846" spans="1:7" s="413" customFormat="1">
      <c r="A1846" s="1358"/>
      <c r="B1846" s="1359" t="s">
        <v>62</v>
      </c>
      <c r="C1846" s="1358" t="s">
        <v>72</v>
      </c>
      <c r="D1846" s="1358" t="s">
        <v>71</v>
      </c>
      <c r="E1846" s="1406">
        <v>6.4000000000000001E-2</v>
      </c>
      <c r="F1846" s="1454">
        <f>F1826</f>
        <v>140000</v>
      </c>
      <c r="G1846" s="1376">
        <f>E1846*F1846</f>
        <v>8960</v>
      </c>
    </row>
    <row r="1847" spans="1:7" s="413" customFormat="1">
      <c r="A1847" s="1358"/>
      <c r="B1847" s="1359" t="s">
        <v>73</v>
      </c>
      <c r="C1847" s="1358" t="s">
        <v>74</v>
      </c>
      <c r="D1847" s="1358" t="s">
        <v>71</v>
      </c>
      <c r="E1847" s="1406">
        <v>6.0000000000000001E-3</v>
      </c>
      <c r="F1847" s="1454">
        <f>F1827</f>
        <v>150000</v>
      </c>
      <c r="G1847" s="1376">
        <f>E1847*F1847</f>
        <v>900</v>
      </c>
    </row>
    <row r="1848" spans="1:7" s="413" customFormat="1">
      <c r="A1848" s="1358"/>
      <c r="B1848" s="1359" t="s">
        <v>50</v>
      </c>
      <c r="C1848" s="1358" t="s">
        <v>75</v>
      </c>
      <c r="D1848" s="1358" t="s">
        <v>71</v>
      </c>
      <c r="E1848" s="1406">
        <v>2E-3</v>
      </c>
      <c r="F1848" s="1454">
        <f>F1828</f>
        <v>170000</v>
      </c>
      <c r="G1848" s="1376">
        <f>E1848*F1848</f>
        <v>340</v>
      </c>
    </row>
    <row r="1849" spans="1:7" s="413" customFormat="1">
      <c r="A1849" s="1396" t="s">
        <v>632</v>
      </c>
      <c r="B1849" s="1397"/>
      <c r="C1849" s="1397"/>
      <c r="D1849" s="1398"/>
      <c r="E1849" s="1399"/>
      <c r="F1849" s="1424"/>
      <c r="G1849" s="1401">
        <f>SUM(G1845:G1848)</f>
        <v>15140</v>
      </c>
    </row>
    <row r="1850" spans="1:7" s="413" customFormat="1">
      <c r="A1850" s="1358" t="s">
        <v>263</v>
      </c>
      <c r="B1850" s="1359" t="s">
        <v>299</v>
      </c>
      <c r="C1850" s="1358"/>
      <c r="D1850" s="1358"/>
      <c r="E1850" s="1406"/>
      <c r="F1850" s="1451"/>
      <c r="G1850" s="1361"/>
    </row>
    <row r="1851" spans="1:7" s="413" customFormat="1">
      <c r="A1851" s="1358"/>
      <c r="B1851" s="1359" t="s">
        <v>666</v>
      </c>
      <c r="C1851" s="1358"/>
      <c r="D1851" s="1358" t="s">
        <v>291</v>
      </c>
      <c r="E1851" s="1406">
        <v>1.1000000000000001</v>
      </c>
      <c r="F1851" s="1454">
        <f>Bahan!E85</f>
        <v>65000</v>
      </c>
      <c r="G1851" s="1376">
        <f t="shared" ref="G1851" si="171">E1851*F1851</f>
        <v>71500</v>
      </c>
    </row>
    <row r="1852" spans="1:7" s="413" customFormat="1">
      <c r="A1852" s="1396" t="s">
        <v>642</v>
      </c>
      <c r="B1852" s="1397"/>
      <c r="C1852" s="1397"/>
      <c r="D1852" s="1398"/>
      <c r="E1852" s="1399"/>
      <c r="F1852" s="1424"/>
      <c r="G1852" s="1401">
        <f>SUM(G1851)</f>
        <v>71500</v>
      </c>
    </row>
    <row r="1853" spans="1:7" s="413" customFormat="1">
      <c r="A1853" s="1358" t="s">
        <v>264</v>
      </c>
      <c r="B1853" s="1359" t="s">
        <v>250</v>
      </c>
      <c r="C1853" s="1358"/>
      <c r="D1853" s="1358"/>
      <c r="E1853" s="1406"/>
      <c r="F1853" s="1451"/>
      <c r="G1853" s="1361"/>
    </row>
    <row r="1854" spans="1:7" s="413" customFormat="1">
      <c r="A1854" s="1396" t="s">
        <v>287</v>
      </c>
      <c r="B1854" s="1397"/>
      <c r="C1854" s="1397"/>
      <c r="D1854" s="1398"/>
      <c r="E1854" s="1399"/>
      <c r="F1854" s="1424"/>
      <c r="G1854" s="1401">
        <f>SUM(G1853)</f>
        <v>0</v>
      </c>
    </row>
    <row r="1855" spans="1:7" s="413" customFormat="1">
      <c r="A1855" s="1407" t="s">
        <v>281</v>
      </c>
      <c r="B1855" s="1408" t="s">
        <v>292</v>
      </c>
      <c r="C1855" s="1408"/>
      <c r="D1855" s="1407"/>
      <c r="E1855" s="1409"/>
      <c r="F1855" s="1427"/>
      <c r="G1855" s="1411">
        <f>G1849+G1852+G1854</f>
        <v>86640</v>
      </c>
    </row>
    <row r="1856" spans="1:7" s="413" customFormat="1">
      <c r="A1856" s="1412" t="s">
        <v>90</v>
      </c>
      <c r="B1856" s="1413" t="s">
        <v>293</v>
      </c>
      <c r="C1856" s="992"/>
      <c r="D1856" s="1414"/>
      <c r="E1856" s="970">
        <f>$I$2</f>
        <v>0.1</v>
      </c>
      <c r="F1856" s="967"/>
      <c r="G1856" s="968">
        <f>+G1855*E1856</f>
        <v>8664</v>
      </c>
    </row>
    <row r="1857" spans="1:7" s="413" customFormat="1">
      <c r="A1857" s="1415" t="s">
        <v>94</v>
      </c>
      <c r="B1857" s="1416" t="s">
        <v>86</v>
      </c>
      <c r="C1857" s="1416"/>
      <c r="D1857" s="1417"/>
      <c r="E1857" s="1418"/>
      <c r="F1857" s="1430"/>
      <c r="G1857" s="1420">
        <f>G1855+G1856</f>
        <v>95304</v>
      </c>
    </row>
    <row r="1858" spans="1:7" s="105" customFormat="1">
      <c r="A1858" s="980"/>
      <c r="B1858" s="980"/>
      <c r="C1858" s="980"/>
      <c r="D1858" s="980"/>
      <c r="E1858" s="1356"/>
      <c r="F1858" s="980"/>
      <c r="G1858" s="1357"/>
    </row>
    <row r="1859" spans="1:7" s="413" customFormat="1" ht="15" thickBot="1">
      <c r="A1859" s="1458" t="s">
        <v>947</v>
      </c>
      <c r="B1859" s="1459"/>
      <c r="C1859" s="1459"/>
      <c r="D1859" s="1460"/>
      <c r="E1859" s="1461"/>
      <c r="F1859" s="1459"/>
      <c r="G1859" s="1462"/>
    </row>
    <row r="1860" spans="1:7" s="413" customFormat="1" ht="15" thickTop="1">
      <c r="A1860" s="1797" t="s">
        <v>275</v>
      </c>
      <c r="B1860" s="1799" t="s">
        <v>295</v>
      </c>
      <c r="C1860" s="1799" t="s">
        <v>276</v>
      </c>
      <c r="D1860" s="1799" t="s">
        <v>277</v>
      </c>
      <c r="E1860" s="1801" t="s">
        <v>278</v>
      </c>
      <c r="F1860" s="916" t="s">
        <v>279</v>
      </c>
      <c r="G1860" s="916" t="s">
        <v>280</v>
      </c>
    </row>
    <row r="1861" spans="1:7" s="413" customFormat="1">
      <c r="A1861" s="1798"/>
      <c r="B1861" s="1800"/>
      <c r="C1861" s="1800"/>
      <c r="D1861" s="1800"/>
      <c r="E1861" s="1802"/>
      <c r="F1861" s="917" t="s">
        <v>67</v>
      </c>
      <c r="G1861" s="917" t="s">
        <v>67</v>
      </c>
    </row>
    <row r="1862" spans="1:7" s="413" customFormat="1">
      <c r="A1862" s="1382" t="s">
        <v>262</v>
      </c>
      <c r="B1862" s="1383" t="s">
        <v>631</v>
      </c>
      <c r="C1862" s="1382"/>
      <c r="D1862" s="1382"/>
      <c r="E1862" s="1384"/>
      <c r="F1862" s="1385"/>
      <c r="G1862" s="1386"/>
    </row>
    <row r="1863" spans="1:7" s="413" customFormat="1">
      <c r="A1863" s="1389"/>
      <c r="B1863" s="1388" t="s">
        <v>69</v>
      </c>
      <c r="C1863" s="1389" t="s">
        <v>70</v>
      </c>
      <c r="D1863" s="1389" t="s">
        <v>71</v>
      </c>
      <c r="E1863" s="1390">
        <v>6.4000000000000001E-2</v>
      </c>
      <c r="F1863" s="1454">
        <f>F1845</f>
        <v>130000</v>
      </c>
      <c r="G1863" s="1376">
        <f>E1863*F1863</f>
        <v>8320</v>
      </c>
    </row>
    <row r="1864" spans="1:7" s="413" customFormat="1">
      <c r="A1864" s="1389"/>
      <c r="B1864" s="1388" t="s">
        <v>62</v>
      </c>
      <c r="C1864" s="1389" t="s">
        <v>72</v>
      </c>
      <c r="D1864" s="1389" t="s">
        <v>71</v>
      </c>
      <c r="E1864" s="1390">
        <v>0.107</v>
      </c>
      <c r="F1864" s="1454">
        <f t="shared" ref="F1864:F1866" si="172">F1846</f>
        <v>140000</v>
      </c>
      <c r="G1864" s="1376">
        <f>E1864*F1864</f>
        <v>14980</v>
      </c>
    </row>
    <row r="1865" spans="1:7" s="413" customFormat="1">
      <c r="A1865" s="1389"/>
      <c r="B1865" s="1388" t="s">
        <v>73</v>
      </c>
      <c r="C1865" s="1389" t="s">
        <v>74</v>
      </c>
      <c r="D1865" s="1389" t="s">
        <v>71</v>
      </c>
      <c r="E1865" s="1390">
        <v>1.0999999999999999E-2</v>
      </c>
      <c r="F1865" s="1454">
        <f t="shared" si="172"/>
        <v>150000</v>
      </c>
      <c r="G1865" s="1376">
        <f>E1865*F1865</f>
        <v>1650</v>
      </c>
    </row>
    <row r="1866" spans="1:7" s="413" customFormat="1">
      <c r="A1866" s="1393"/>
      <c r="B1866" s="1392" t="s">
        <v>50</v>
      </c>
      <c r="C1866" s="1393" t="s">
        <v>75</v>
      </c>
      <c r="D1866" s="1393" t="s">
        <v>71</v>
      </c>
      <c r="E1866" s="1394">
        <v>4.0000000000000001E-3</v>
      </c>
      <c r="F1866" s="1455">
        <f t="shared" si="172"/>
        <v>170000</v>
      </c>
      <c r="G1866" s="1395">
        <f>E1866*F1866</f>
        <v>680</v>
      </c>
    </row>
    <row r="1867" spans="1:7" s="413" customFormat="1">
      <c r="A1867" s="1396" t="s">
        <v>632</v>
      </c>
      <c r="B1867" s="1397"/>
      <c r="C1867" s="1397"/>
      <c r="D1867" s="1398"/>
      <c r="E1867" s="1399"/>
      <c r="F1867" s="1424"/>
      <c r="G1867" s="1401">
        <f>SUM(G1863:G1866)</f>
        <v>25630</v>
      </c>
    </row>
    <row r="1868" spans="1:7" s="413" customFormat="1">
      <c r="A1868" s="1402" t="s">
        <v>263</v>
      </c>
      <c r="B1868" s="1403" t="s">
        <v>299</v>
      </c>
      <c r="C1868" s="1402"/>
      <c r="D1868" s="1402"/>
      <c r="E1868" s="1404"/>
      <c r="F1868" s="1422"/>
      <c r="G1868" s="1405"/>
    </row>
    <row r="1869" spans="1:7" s="413" customFormat="1">
      <c r="A1869" s="1393"/>
      <c r="B1869" s="1392" t="s">
        <v>946</v>
      </c>
      <c r="C1869" s="1393"/>
      <c r="D1869" s="1393" t="s">
        <v>291</v>
      </c>
      <c r="E1869" s="1394">
        <v>1.1000000000000001</v>
      </c>
      <c r="F1869" s="1455">
        <f>Bahan!E78</f>
        <v>115000</v>
      </c>
      <c r="G1869" s="1395">
        <f t="shared" ref="G1869" si="173">E1869*F1869</f>
        <v>126500.00000000001</v>
      </c>
    </row>
    <row r="1870" spans="1:7" s="413" customFormat="1">
      <c r="A1870" s="1396" t="s">
        <v>642</v>
      </c>
      <c r="B1870" s="1397"/>
      <c r="C1870" s="1397"/>
      <c r="D1870" s="1398"/>
      <c r="E1870" s="1399"/>
      <c r="F1870" s="1424"/>
      <c r="G1870" s="1401">
        <f>SUM(G1869)</f>
        <v>126500.00000000001</v>
      </c>
    </row>
    <row r="1871" spans="1:7" s="413" customFormat="1">
      <c r="A1871" s="1358" t="s">
        <v>264</v>
      </c>
      <c r="B1871" s="1359" t="s">
        <v>250</v>
      </c>
      <c r="C1871" s="1358"/>
      <c r="D1871" s="1358"/>
      <c r="E1871" s="1406"/>
      <c r="F1871" s="1451"/>
      <c r="G1871" s="1361"/>
    </row>
    <row r="1872" spans="1:7" s="413" customFormat="1">
      <c r="A1872" s="1396" t="s">
        <v>287</v>
      </c>
      <c r="B1872" s="1397"/>
      <c r="C1872" s="1397"/>
      <c r="D1872" s="1398"/>
      <c r="E1872" s="1399"/>
      <c r="F1872" s="1424"/>
      <c r="G1872" s="1401">
        <f>SUM(G1871)</f>
        <v>0</v>
      </c>
    </row>
    <row r="1873" spans="1:7" s="413" customFormat="1">
      <c r="A1873" s="1407" t="s">
        <v>281</v>
      </c>
      <c r="B1873" s="1408" t="s">
        <v>292</v>
      </c>
      <c r="C1873" s="1408"/>
      <c r="D1873" s="1407"/>
      <c r="E1873" s="1409"/>
      <c r="F1873" s="1427"/>
      <c r="G1873" s="1411">
        <f>G1867+G1870+G1872</f>
        <v>152130</v>
      </c>
    </row>
    <row r="1874" spans="1:7" s="413" customFormat="1">
      <c r="A1874" s="1412" t="s">
        <v>90</v>
      </c>
      <c r="B1874" s="1413" t="s">
        <v>293</v>
      </c>
      <c r="C1874" s="992"/>
      <c r="D1874" s="1414"/>
      <c r="E1874" s="970">
        <f>$I$2</f>
        <v>0.1</v>
      </c>
      <c r="F1874" s="967"/>
      <c r="G1874" s="968">
        <f>+G1873*E1874</f>
        <v>15213</v>
      </c>
    </row>
    <row r="1875" spans="1:7" s="413" customFormat="1">
      <c r="A1875" s="1415" t="s">
        <v>94</v>
      </c>
      <c r="B1875" s="1416" t="s">
        <v>86</v>
      </c>
      <c r="C1875" s="1416"/>
      <c r="D1875" s="1417"/>
      <c r="E1875" s="1418"/>
      <c r="F1875" s="1430"/>
      <c r="G1875" s="1420">
        <f>G1873+G1874</f>
        <v>167343</v>
      </c>
    </row>
    <row r="1876" spans="1:7" s="111" customFormat="1">
      <c r="A1876" s="980"/>
      <c r="B1876" s="980"/>
      <c r="C1876" s="980"/>
      <c r="D1876" s="980"/>
      <c r="E1876" s="1356"/>
      <c r="F1876" s="980"/>
      <c r="G1876" s="1357"/>
    </row>
    <row r="1877" spans="1:7" s="413" customFormat="1" ht="15" thickBot="1">
      <c r="A1877" s="1458" t="s">
        <v>949</v>
      </c>
      <c r="B1877" s="1459"/>
      <c r="C1877" s="1459"/>
      <c r="D1877" s="1460"/>
      <c r="E1877" s="1461"/>
      <c r="F1877" s="1459"/>
      <c r="G1877" s="1462"/>
    </row>
    <row r="1878" spans="1:7" s="413" customFormat="1" ht="15" thickTop="1">
      <c r="A1878" s="1797" t="s">
        <v>275</v>
      </c>
      <c r="B1878" s="1799" t="s">
        <v>295</v>
      </c>
      <c r="C1878" s="1799" t="s">
        <v>276</v>
      </c>
      <c r="D1878" s="1799" t="s">
        <v>277</v>
      </c>
      <c r="E1878" s="1801" t="s">
        <v>278</v>
      </c>
      <c r="F1878" s="916" t="s">
        <v>279</v>
      </c>
      <c r="G1878" s="916" t="s">
        <v>280</v>
      </c>
    </row>
    <row r="1879" spans="1:7" s="413" customFormat="1">
      <c r="A1879" s="1798"/>
      <c r="B1879" s="1800"/>
      <c r="C1879" s="1800"/>
      <c r="D1879" s="1800"/>
      <c r="E1879" s="1802"/>
      <c r="F1879" s="917" t="s">
        <v>67</v>
      </c>
      <c r="G1879" s="917" t="s">
        <v>67</v>
      </c>
    </row>
    <row r="1880" spans="1:7" s="413" customFormat="1">
      <c r="A1880" s="1382" t="s">
        <v>262</v>
      </c>
      <c r="B1880" s="1383" t="s">
        <v>631</v>
      </c>
      <c r="C1880" s="1382"/>
      <c r="D1880" s="1382"/>
      <c r="E1880" s="1384"/>
      <c r="F1880" s="1385"/>
      <c r="G1880" s="1386"/>
    </row>
    <row r="1881" spans="1:7" s="413" customFormat="1">
      <c r="A1881" s="1389"/>
      <c r="B1881" s="1388" t="s">
        <v>69</v>
      </c>
      <c r="C1881" s="1389" t="s">
        <v>70</v>
      </c>
      <c r="D1881" s="1389" t="s">
        <v>71</v>
      </c>
      <c r="E1881" s="1390">
        <v>6.4000000000000001E-2</v>
      </c>
      <c r="F1881" s="1454">
        <f>F1863</f>
        <v>130000</v>
      </c>
      <c r="G1881" s="1376">
        <f>E1881*F1881</f>
        <v>8320</v>
      </c>
    </row>
    <row r="1882" spans="1:7" s="413" customFormat="1">
      <c r="A1882" s="1389"/>
      <c r="B1882" s="1388" t="s">
        <v>62</v>
      </c>
      <c r="C1882" s="1389" t="s">
        <v>72</v>
      </c>
      <c r="D1882" s="1389" t="s">
        <v>71</v>
      </c>
      <c r="E1882" s="1390">
        <v>0.107</v>
      </c>
      <c r="F1882" s="1454">
        <f t="shared" ref="F1882:F1884" si="174">F1864</f>
        <v>140000</v>
      </c>
      <c r="G1882" s="1376">
        <f>E1882*F1882</f>
        <v>14980</v>
      </c>
    </row>
    <row r="1883" spans="1:7" s="413" customFormat="1">
      <c r="A1883" s="1389"/>
      <c r="B1883" s="1388" t="s">
        <v>73</v>
      </c>
      <c r="C1883" s="1389" t="s">
        <v>74</v>
      </c>
      <c r="D1883" s="1389" t="s">
        <v>71</v>
      </c>
      <c r="E1883" s="1390">
        <v>1.0999999999999999E-2</v>
      </c>
      <c r="F1883" s="1454">
        <f t="shared" si="174"/>
        <v>150000</v>
      </c>
      <c r="G1883" s="1376">
        <f>E1883*F1883</f>
        <v>1650</v>
      </c>
    </row>
    <row r="1884" spans="1:7" s="413" customFormat="1">
      <c r="A1884" s="1393"/>
      <c r="B1884" s="1392" t="s">
        <v>50</v>
      </c>
      <c r="C1884" s="1393" t="s">
        <v>75</v>
      </c>
      <c r="D1884" s="1393" t="s">
        <v>71</v>
      </c>
      <c r="E1884" s="1394">
        <v>4.0000000000000001E-3</v>
      </c>
      <c r="F1884" s="1455">
        <f t="shared" si="174"/>
        <v>170000</v>
      </c>
      <c r="G1884" s="1395">
        <f>E1884*F1884</f>
        <v>680</v>
      </c>
    </row>
    <row r="1885" spans="1:7" s="413" customFormat="1">
      <c r="A1885" s="1396" t="s">
        <v>632</v>
      </c>
      <c r="B1885" s="1397"/>
      <c r="C1885" s="1397"/>
      <c r="D1885" s="1398"/>
      <c r="E1885" s="1399"/>
      <c r="F1885" s="1424"/>
      <c r="G1885" s="1401">
        <f>SUM(G1881:G1884)</f>
        <v>25630</v>
      </c>
    </row>
    <row r="1886" spans="1:7" s="413" customFormat="1">
      <c r="A1886" s="1402" t="s">
        <v>263</v>
      </c>
      <c r="B1886" s="1403" t="s">
        <v>299</v>
      </c>
      <c r="C1886" s="1402"/>
      <c r="D1886" s="1402"/>
      <c r="E1886" s="1404"/>
      <c r="F1886" s="1422"/>
      <c r="G1886" s="1405"/>
    </row>
    <row r="1887" spans="1:7" s="413" customFormat="1">
      <c r="A1887" s="1393"/>
      <c r="B1887" s="1392" t="s">
        <v>948</v>
      </c>
      <c r="C1887" s="1393"/>
      <c r="D1887" s="1393" t="s">
        <v>291</v>
      </c>
      <c r="E1887" s="1394">
        <v>1.1000000000000001</v>
      </c>
      <c r="F1887" s="1455">
        <f>Bahan!E79</f>
        <v>95000</v>
      </c>
      <c r="G1887" s="1395">
        <f t="shared" ref="G1887" si="175">E1887*F1887</f>
        <v>104500.00000000001</v>
      </c>
    </row>
    <row r="1888" spans="1:7" s="413" customFormat="1">
      <c r="A1888" s="1396" t="s">
        <v>642</v>
      </c>
      <c r="B1888" s="1397"/>
      <c r="C1888" s="1397"/>
      <c r="D1888" s="1398"/>
      <c r="E1888" s="1399"/>
      <c r="F1888" s="1424"/>
      <c r="G1888" s="1401">
        <f>SUM(G1887)</f>
        <v>104500.00000000001</v>
      </c>
    </row>
    <row r="1889" spans="1:7" s="413" customFormat="1">
      <c r="A1889" s="1358" t="s">
        <v>264</v>
      </c>
      <c r="B1889" s="1359" t="s">
        <v>250</v>
      </c>
      <c r="C1889" s="1358"/>
      <c r="D1889" s="1358"/>
      <c r="E1889" s="1406"/>
      <c r="F1889" s="1451"/>
      <c r="G1889" s="1361"/>
    </row>
    <row r="1890" spans="1:7" s="413" customFormat="1">
      <c r="A1890" s="1396" t="s">
        <v>287</v>
      </c>
      <c r="B1890" s="1397"/>
      <c r="C1890" s="1397"/>
      <c r="D1890" s="1398"/>
      <c r="E1890" s="1399"/>
      <c r="F1890" s="1424"/>
      <c r="G1890" s="1401">
        <f>SUM(G1889)</f>
        <v>0</v>
      </c>
    </row>
    <row r="1891" spans="1:7" s="413" customFormat="1">
      <c r="A1891" s="1407" t="s">
        <v>281</v>
      </c>
      <c r="B1891" s="1408" t="s">
        <v>292</v>
      </c>
      <c r="C1891" s="1408"/>
      <c r="D1891" s="1407"/>
      <c r="E1891" s="1409"/>
      <c r="F1891" s="1427"/>
      <c r="G1891" s="1411">
        <f>G1885+G1888+G1890</f>
        <v>130130.00000000001</v>
      </c>
    </row>
    <row r="1892" spans="1:7" s="413" customFormat="1">
      <c r="A1892" s="1412" t="s">
        <v>90</v>
      </c>
      <c r="B1892" s="1413" t="s">
        <v>293</v>
      </c>
      <c r="C1892" s="992"/>
      <c r="D1892" s="1414"/>
      <c r="E1892" s="970">
        <f>$I$2</f>
        <v>0.1</v>
      </c>
      <c r="F1892" s="967"/>
      <c r="G1892" s="968">
        <f>+G1891*E1892</f>
        <v>13013.000000000002</v>
      </c>
    </row>
    <row r="1893" spans="1:7" s="413" customFormat="1">
      <c r="A1893" s="1415" t="s">
        <v>94</v>
      </c>
      <c r="B1893" s="1416" t="s">
        <v>86</v>
      </c>
      <c r="C1893" s="1416"/>
      <c r="D1893" s="1417"/>
      <c r="E1893" s="1418"/>
      <c r="F1893" s="1430"/>
      <c r="G1893" s="1420">
        <f>G1891+G1892</f>
        <v>143143.00000000003</v>
      </c>
    </row>
    <row r="1894" spans="1:7" s="111" customFormat="1">
      <c r="A1894" s="980"/>
      <c r="B1894" s="980"/>
      <c r="C1894" s="980"/>
      <c r="D1894" s="980"/>
      <c r="E1894" s="1356"/>
      <c r="F1894" s="980"/>
      <c r="G1894" s="1357"/>
    </row>
    <row r="1895" spans="1:7" s="111" customFormat="1">
      <c r="A1895" s="980"/>
      <c r="B1895" s="980"/>
      <c r="C1895" s="980"/>
      <c r="D1895" s="980"/>
      <c r="E1895" s="1356"/>
      <c r="F1895" s="980"/>
      <c r="G1895" s="1357"/>
    </row>
    <row r="1896" spans="1:7" s="111" customFormat="1">
      <c r="A1896" s="980"/>
      <c r="B1896" s="980"/>
      <c r="C1896" s="980"/>
      <c r="D1896" s="980"/>
      <c r="E1896" s="1356"/>
      <c r="F1896" s="980"/>
      <c r="G1896" s="1357"/>
    </row>
    <row r="1897" spans="1:7" s="111" customFormat="1">
      <c r="A1897" s="980"/>
      <c r="B1897" s="980"/>
      <c r="C1897" s="980"/>
      <c r="D1897" s="980"/>
      <c r="E1897" s="1356"/>
      <c r="F1897" s="980"/>
      <c r="G1897" s="1357"/>
    </row>
    <row r="1898" spans="1:7" s="111" customFormat="1">
      <c r="A1898" s="980"/>
      <c r="B1898" s="980"/>
      <c r="C1898" s="980"/>
      <c r="D1898" s="980"/>
      <c r="E1898" s="1356"/>
      <c r="F1898" s="980"/>
      <c r="G1898" s="1357"/>
    </row>
    <row r="1899" spans="1:7" s="111" customFormat="1">
      <c r="A1899" s="980"/>
      <c r="B1899" s="980"/>
      <c r="C1899" s="980"/>
      <c r="D1899" s="980"/>
      <c r="E1899" s="1356"/>
      <c r="F1899" s="980"/>
      <c r="G1899" s="1357"/>
    </row>
    <row r="1900" spans="1:7" s="111" customFormat="1">
      <c r="A1900" s="980"/>
      <c r="B1900" s="980"/>
      <c r="C1900" s="980"/>
      <c r="D1900" s="980"/>
      <c r="E1900" s="1356"/>
      <c r="F1900" s="980"/>
      <c r="G1900" s="1357"/>
    </row>
    <row r="1901" spans="1:7" s="111" customFormat="1">
      <c r="A1901" s="980"/>
      <c r="B1901" s="980"/>
      <c r="C1901" s="980"/>
      <c r="D1901" s="980"/>
      <c r="E1901" s="1356"/>
      <c r="F1901" s="980"/>
      <c r="G1901" s="1357"/>
    </row>
    <row r="1902" spans="1:7" s="111" customFormat="1">
      <c r="A1902" s="980"/>
      <c r="B1902" s="980"/>
      <c r="C1902" s="980"/>
      <c r="D1902" s="980"/>
      <c r="E1902" s="1356"/>
      <c r="F1902" s="980"/>
      <c r="G1902" s="1357"/>
    </row>
    <row r="1903" spans="1:7" s="111" customFormat="1">
      <c r="A1903" s="980"/>
      <c r="B1903" s="980"/>
      <c r="C1903" s="980"/>
      <c r="D1903" s="980"/>
      <c r="E1903" s="1356"/>
      <c r="F1903" s="980"/>
      <c r="G1903" s="1357"/>
    </row>
    <row r="1904" spans="1:7" s="111" customFormat="1">
      <c r="A1904" s="980"/>
      <c r="B1904" s="980"/>
      <c r="C1904" s="980"/>
      <c r="D1904" s="980"/>
      <c r="E1904" s="1356"/>
      <c r="F1904" s="980"/>
      <c r="G1904" s="1357"/>
    </row>
    <row r="1905" spans="1:7" s="111" customFormat="1">
      <c r="A1905" s="980"/>
      <c r="B1905" s="980"/>
      <c r="C1905" s="980"/>
      <c r="D1905" s="980"/>
      <c r="E1905" s="1356"/>
      <c r="F1905" s="980"/>
      <c r="G1905" s="1357"/>
    </row>
    <row r="1906" spans="1:7" s="111" customFormat="1">
      <c r="A1906" s="980"/>
      <c r="B1906" s="980"/>
      <c r="C1906" s="980"/>
      <c r="D1906" s="980"/>
      <c r="E1906" s="1356"/>
      <c r="F1906" s="980"/>
      <c r="G1906" s="1357"/>
    </row>
    <row r="1907" spans="1:7" s="111" customFormat="1">
      <c r="A1907" s="980"/>
      <c r="B1907" s="980"/>
      <c r="C1907" s="980"/>
      <c r="D1907" s="980"/>
      <c r="E1907" s="1356"/>
      <c r="F1907" s="980"/>
      <c r="G1907" s="1357"/>
    </row>
    <row r="1908" spans="1:7" s="111" customFormat="1">
      <c r="A1908" s="980"/>
      <c r="B1908" s="980"/>
      <c r="C1908" s="980"/>
      <c r="D1908" s="980"/>
      <c r="E1908" s="1356"/>
      <c r="F1908" s="980"/>
      <c r="G1908" s="1357"/>
    </row>
    <row r="1909" spans="1:7" s="111" customFormat="1">
      <c r="A1909" s="980"/>
      <c r="B1909" s="980"/>
      <c r="C1909" s="980"/>
      <c r="D1909" s="980"/>
      <c r="E1909" s="1356"/>
      <c r="F1909" s="980"/>
      <c r="G1909" s="1357"/>
    </row>
    <row r="1910" spans="1:7" s="111" customFormat="1">
      <c r="A1910" s="980"/>
      <c r="B1910" s="980"/>
      <c r="C1910" s="980"/>
      <c r="D1910" s="980"/>
      <c r="E1910" s="1356"/>
      <c r="F1910" s="980"/>
      <c r="G1910" s="1357"/>
    </row>
    <row r="1911" spans="1:7" s="105" customFormat="1" ht="13.5" customHeight="1">
      <c r="A1911" s="1377" t="s">
        <v>698</v>
      </c>
      <c r="B1911" s="980"/>
      <c r="C1911" s="980"/>
      <c r="D1911" s="980"/>
      <c r="E1911" s="1356"/>
      <c r="F1911" s="980"/>
      <c r="G1911" s="1357"/>
    </row>
    <row r="1912" spans="1:7" s="105" customFormat="1" ht="13.5" customHeight="1" thickBot="1">
      <c r="A1912" s="1377" t="s">
        <v>651</v>
      </c>
      <c r="B1912" s="1378"/>
      <c r="C1912" s="1378"/>
      <c r="D1912" s="1379"/>
      <c r="E1912" s="1380"/>
      <c r="F1912" s="1378"/>
      <c r="G1912" s="1381"/>
    </row>
    <row r="1913" spans="1:7" s="105" customFormat="1" ht="13.5" customHeight="1" thickTop="1">
      <c r="A1913" s="1797" t="s">
        <v>275</v>
      </c>
      <c r="B1913" s="1799" t="s">
        <v>295</v>
      </c>
      <c r="C1913" s="1799" t="s">
        <v>276</v>
      </c>
      <c r="D1913" s="1799" t="s">
        <v>277</v>
      </c>
      <c r="E1913" s="1801" t="s">
        <v>278</v>
      </c>
      <c r="F1913" s="916" t="s">
        <v>279</v>
      </c>
      <c r="G1913" s="916" t="s">
        <v>280</v>
      </c>
    </row>
    <row r="1914" spans="1:7" s="105" customFormat="1" ht="13.5" customHeight="1">
      <c r="A1914" s="1798"/>
      <c r="B1914" s="1800"/>
      <c r="C1914" s="1800"/>
      <c r="D1914" s="1800"/>
      <c r="E1914" s="1802"/>
      <c r="F1914" s="917" t="s">
        <v>67</v>
      </c>
      <c r="G1914" s="917" t="s">
        <v>67</v>
      </c>
    </row>
    <row r="1915" spans="1:7" s="105" customFormat="1" ht="13.5" customHeight="1">
      <c r="A1915" s="1382" t="s">
        <v>262</v>
      </c>
      <c r="B1915" s="1383" t="s">
        <v>631</v>
      </c>
      <c r="C1915" s="1382"/>
      <c r="D1915" s="1382"/>
      <c r="E1915" s="1384"/>
      <c r="F1915" s="1385"/>
      <c r="G1915" s="1386"/>
    </row>
    <row r="1916" spans="1:7" s="105" customFormat="1" ht="13.5" customHeight="1">
      <c r="A1916" s="1389"/>
      <c r="B1916" s="1388" t="s">
        <v>69</v>
      </c>
      <c r="C1916" s="1389" t="s">
        <v>70</v>
      </c>
      <c r="D1916" s="1389" t="s">
        <v>71</v>
      </c>
      <c r="E1916" s="1390">
        <v>3.3000000000000002E-2</v>
      </c>
      <c r="F1916" s="1376">
        <f>F1719</f>
        <v>130000</v>
      </c>
      <c r="G1916" s="1376">
        <f>E1916*F1916</f>
        <v>4290</v>
      </c>
    </row>
    <row r="1917" spans="1:7" s="105" customFormat="1" ht="13.5" customHeight="1">
      <c r="A1917" s="1389"/>
      <c r="B1917" s="1388" t="s">
        <v>247</v>
      </c>
      <c r="C1917" s="1389" t="s">
        <v>72</v>
      </c>
      <c r="D1917" s="1389" t="s">
        <v>71</v>
      </c>
      <c r="E1917" s="1390">
        <v>5.6000000000000001E-2</v>
      </c>
      <c r="F1917" s="1376">
        <f>Upah!F24</f>
        <v>140000</v>
      </c>
      <c r="G1917" s="1376">
        <f>E1917*F1917</f>
        <v>7840</v>
      </c>
    </row>
    <row r="1918" spans="1:7" s="105" customFormat="1" ht="13.5" customHeight="1">
      <c r="A1918" s="1389"/>
      <c r="B1918" s="1388" t="s">
        <v>73</v>
      </c>
      <c r="C1918" s="1389" t="s">
        <v>74</v>
      </c>
      <c r="D1918" s="1389" t="s">
        <v>71</v>
      </c>
      <c r="E1918" s="1390">
        <v>6.0000000000000001E-3</v>
      </c>
      <c r="F1918" s="1376">
        <f>F1721</f>
        <v>150000</v>
      </c>
      <c r="G1918" s="1376">
        <f>E1918*F1918</f>
        <v>900</v>
      </c>
    </row>
    <row r="1919" spans="1:7" s="105" customFormat="1" ht="13.5" customHeight="1">
      <c r="A1919" s="1393"/>
      <c r="B1919" s="1392" t="s">
        <v>50</v>
      </c>
      <c r="C1919" s="1393" t="s">
        <v>75</v>
      </c>
      <c r="D1919" s="1393" t="s">
        <v>71</v>
      </c>
      <c r="E1919" s="1394">
        <v>2E-3</v>
      </c>
      <c r="F1919" s="1395">
        <f>F1722</f>
        <v>170000</v>
      </c>
      <c r="G1919" s="1395">
        <f>E1919*F1919</f>
        <v>340</v>
      </c>
    </row>
    <row r="1920" spans="1:7" s="105" customFormat="1" ht="13.5" customHeight="1">
      <c r="A1920" s="1396" t="s">
        <v>632</v>
      </c>
      <c r="B1920" s="1397"/>
      <c r="C1920" s="1397"/>
      <c r="D1920" s="1398"/>
      <c r="E1920" s="1399"/>
      <c r="F1920" s="1400"/>
      <c r="G1920" s="1401">
        <f>SUM(G1916:G1919)</f>
        <v>13370</v>
      </c>
    </row>
    <row r="1921" spans="1:7" s="105" customFormat="1" ht="13.5" customHeight="1">
      <c r="A1921" s="1402" t="s">
        <v>263</v>
      </c>
      <c r="B1921" s="1403" t="s">
        <v>299</v>
      </c>
      <c r="C1921" s="1402"/>
      <c r="D1921" s="1402"/>
      <c r="E1921" s="1404"/>
      <c r="F1921" s="1405"/>
      <c r="G1921" s="1405"/>
    </row>
    <row r="1922" spans="1:7" s="105" customFormat="1" ht="13.5" customHeight="1">
      <c r="A1922" s="1389"/>
      <c r="B1922" s="1388" t="s">
        <v>652</v>
      </c>
      <c r="C1922" s="1389"/>
      <c r="D1922" s="1389" t="s">
        <v>168</v>
      </c>
      <c r="E1922" s="1390">
        <v>1.5</v>
      </c>
      <c r="F1922" s="1376">
        <f>Bahan!E290</f>
        <v>8000</v>
      </c>
      <c r="G1922" s="1376">
        <f t="shared" ref="G1922:G1923" si="176">E1922*F1922</f>
        <v>12000</v>
      </c>
    </row>
    <row r="1923" spans="1:7" s="105" customFormat="1" ht="13.5" customHeight="1">
      <c r="A1923" s="1393"/>
      <c r="B1923" s="1392" t="s">
        <v>536</v>
      </c>
      <c r="C1923" s="1393"/>
      <c r="D1923" s="1393" t="s">
        <v>168</v>
      </c>
      <c r="E1923" s="1394">
        <v>1.2</v>
      </c>
      <c r="F1923" s="1395">
        <f>Bahan!E42</f>
        <v>110</v>
      </c>
      <c r="G1923" s="1395">
        <f t="shared" si="176"/>
        <v>132</v>
      </c>
    </row>
    <row r="1924" spans="1:7" s="105" customFormat="1" ht="13.5" customHeight="1">
      <c r="A1924" s="1396" t="s">
        <v>642</v>
      </c>
      <c r="B1924" s="1397"/>
      <c r="C1924" s="1397"/>
      <c r="D1924" s="1398"/>
      <c r="E1924" s="1399"/>
      <c r="F1924" s="1400"/>
      <c r="G1924" s="1401">
        <f>SUM(G1922:G1923)</f>
        <v>12132</v>
      </c>
    </row>
    <row r="1925" spans="1:7" s="105" customFormat="1" ht="13.5" customHeight="1">
      <c r="A1925" s="1358" t="s">
        <v>264</v>
      </c>
      <c r="B1925" s="1359" t="s">
        <v>250</v>
      </c>
      <c r="C1925" s="1358"/>
      <c r="D1925" s="1358"/>
      <c r="E1925" s="1406"/>
      <c r="F1925" s="1361"/>
      <c r="G1925" s="1361"/>
    </row>
    <row r="1926" spans="1:7" s="105" customFormat="1" ht="13.5" customHeight="1">
      <c r="A1926" s="1396" t="s">
        <v>287</v>
      </c>
      <c r="B1926" s="1397"/>
      <c r="C1926" s="1397"/>
      <c r="D1926" s="1398"/>
      <c r="E1926" s="1399"/>
      <c r="F1926" s="1400"/>
      <c r="G1926" s="1401">
        <f>SUM(G1925)</f>
        <v>0</v>
      </c>
    </row>
    <row r="1927" spans="1:7" s="105" customFormat="1" ht="13.5" customHeight="1">
      <c r="A1927" s="1407" t="s">
        <v>281</v>
      </c>
      <c r="B1927" s="1408" t="s">
        <v>292</v>
      </c>
      <c r="C1927" s="1408"/>
      <c r="D1927" s="1407"/>
      <c r="E1927" s="1409"/>
      <c r="F1927" s="1410"/>
      <c r="G1927" s="1411">
        <f>G1920+G1924+G1926</f>
        <v>25502</v>
      </c>
    </row>
    <row r="1928" spans="1:7" s="105" customFormat="1" ht="13.5" customHeight="1">
      <c r="A1928" s="1412" t="s">
        <v>90</v>
      </c>
      <c r="B1928" s="1413" t="s">
        <v>293</v>
      </c>
      <c r="C1928" s="992"/>
      <c r="D1928" s="1414"/>
      <c r="E1928" s="970">
        <f>$I$2</f>
        <v>0.1</v>
      </c>
      <c r="F1928" s="967"/>
      <c r="G1928" s="968">
        <f>+G1927*E1928</f>
        <v>2550.2000000000003</v>
      </c>
    </row>
    <row r="1929" spans="1:7" s="105" customFormat="1" ht="13.5" customHeight="1">
      <c r="A1929" s="1415" t="s">
        <v>94</v>
      </c>
      <c r="B1929" s="1416" t="s">
        <v>86</v>
      </c>
      <c r="C1929" s="1416"/>
      <c r="D1929" s="1417"/>
      <c r="E1929" s="1418"/>
      <c r="F1929" s="1419"/>
      <c r="G1929" s="1420">
        <f>G1927+G1928</f>
        <v>28052.2</v>
      </c>
    </row>
    <row r="1930" spans="1:7" s="105" customFormat="1" ht="5.25" customHeight="1">
      <c r="A1930" s="980"/>
      <c r="B1930" s="980"/>
      <c r="C1930" s="980"/>
      <c r="D1930" s="980"/>
      <c r="E1930" s="1356"/>
      <c r="F1930" s="980"/>
      <c r="G1930" s="1357"/>
    </row>
    <row r="1931" spans="1:7" s="105" customFormat="1" ht="13.5" customHeight="1" thickBot="1">
      <c r="A1931" s="1377" t="s">
        <v>653</v>
      </c>
      <c r="B1931" s="1378"/>
      <c r="C1931" s="1378"/>
      <c r="D1931" s="1379"/>
      <c r="E1931" s="1380"/>
      <c r="F1931" s="1381"/>
      <c r="G1931" s="1381"/>
    </row>
    <row r="1932" spans="1:7" s="105" customFormat="1" ht="13.5" customHeight="1" thickTop="1">
      <c r="A1932" s="1797" t="s">
        <v>275</v>
      </c>
      <c r="B1932" s="1799" t="s">
        <v>295</v>
      </c>
      <c r="C1932" s="1799" t="s">
        <v>276</v>
      </c>
      <c r="D1932" s="1799" t="s">
        <v>277</v>
      </c>
      <c r="E1932" s="1801" t="s">
        <v>278</v>
      </c>
      <c r="F1932" s="916" t="s">
        <v>279</v>
      </c>
      <c r="G1932" s="916" t="s">
        <v>280</v>
      </c>
    </row>
    <row r="1933" spans="1:7" s="105" customFormat="1" ht="13.5" customHeight="1">
      <c r="A1933" s="1798"/>
      <c r="B1933" s="1800"/>
      <c r="C1933" s="1800"/>
      <c r="D1933" s="1800"/>
      <c r="E1933" s="1802"/>
      <c r="F1933" s="917" t="s">
        <v>67</v>
      </c>
      <c r="G1933" s="917" t="s">
        <v>67</v>
      </c>
    </row>
    <row r="1934" spans="1:7" s="105" customFormat="1" ht="13.5" customHeight="1">
      <c r="A1934" s="1402" t="s">
        <v>262</v>
      </c>
      <c r="B1934" s="1403" t="s">
        <v>631</v>
      </c>
      <c r="C1934" s="1402"/>
      <c r="D1934" s="1402"/>
      <c r="E1934" s="1404"/>
      <c r="F1934" s="1405"/>
      <c r="G1934" s="1405"/>
    </row>
    <row r="1935" spans="1:7" s="105" customFormat="1" ht="13.5" customHeight="1">
      <c r="A1935" s="1389"/>
      <c r="B1935" s="1388" t="s">
        <v>69</v>
      </c>
      <c r="C1935" s="1389" t="s">
        <v>70</v>
      </c>
      <c r="D1935" s="1389" t="s">
        <v>71</v>
      </c>
      <c r="E1935" s="1390">
        <v>4.8000000000000001E-2</v>
      </c>
      <c r="F1935" s="1376">
        <f>F1916</f>
        <v>130000</v>
      </c>
      <c r="G1935" s="1376">
        <f>E1935*F1935</f>
        <v>6240</v>
      </c>
    </row>
    <row r="1936" spans="1:7" s="105" customFormat="1" ht="13.5" customHeight="1">
      <c r="A1936" s="1389"/>
      <c r="B1936" s="1388" t="s">
        <v>247</v>
      </c>
      <c r="C1936" s="1389" t="s">
        <v>72</v>
      </c>
      <c r="D1936" s="1389" t="s">
        <v>71</v>
      </c>
      <c r="E1936" s="1390">
        <v>0.08</v>
      </c>
      <c r="F1936" s="1376">
        <f>F1917</f>
        <v>140000</v>
      </c>
      <c r="G1936" s="1376">
        <f>E1936*F1936</f>
        <v>11200</v>
      </c>
    </row>
    <row r="1937" spans="1:7" s="105" customFormat="1" ht="13.5" customHeight="1">
      <c r="A1937" s="1389"/>
      <c r="B1937" s="1388" t="s">
        <v>73</v>
      </c>
      <c r="C1937" s="1389" t="s">
        <v>74</v>
      </c>
      <c r="D1937" s="1389" t="s">
        <v>71</v>
      </c>
      <c r="E1937" s="1390">
        <v>8.0000000000000002E-3</v>
      </c>
      <c r="F1937" s="1376">
        <f>F1918</f>
        <v>150000</v>
      </c>
      <c r="G1937" s="1376">
        <f>E1937*F1937</f>
        <v>1200</v>
      </c>
    </row>
    <row r="1938" spans="1:7" s="105" customFormat="1" ht="13.5" customHeight="1">
      <c r="A1938" s="1393"/>
      <c r="B1938" s="1392" t="s">
        <v>50</v>
      </c>
      <c r="C1938" s="1393" t="s">
        <v>75</v>
      </c>
      <c r="D1938" s="1393" t="s">
        <v>71</v>
      </c>
      <c r="E1938" s="1394">
        <v>3.0000000000000001E-3</v>
      </c>
      <c r="F1938" s="1395">
        <f>F1919</f>
        <v>170000</v>
      </c>
      <c r="G1938" s="1395">
        <f>E1938*F1938</f>
        <v>510</v>
      </c>
    </row>
    <row r="1939" spans="1:7" s="105" customFormat="1" ht="13.5" customHeight="1">
      <c r="A1939" s="1396" t="s">
        <v>632</v>
      </c>
      <c r="B1939" s="1397"/>
      <c r="C1939" s="1397"/>
      <c r="D1939" s="1398"/>
      <c r="E1939" s="1399"/>
      <c r="F1939" s="1400"/>
      <c r="G1939" s="1401">
        <f>SUM(G1935:G1938)</f>
        <v>19150</v>
      </c>
    </row>
    <row r="1940" spans="1:7" s="105" customFormat="1" ht="13.5" customHeight="1">
      <c r="A1940" s="1402" t="s">
        <v>263</v>
      </c>
      <c r="B1940" s="1403" t="s">
        <v>299</v>
      </c>
      <c r="C1940" s="1402"/>
      <c r="D1940" s="1402"/>
      <c r="E1940" s="1404"/>
      <c r="F1940" s="1405"/>
      <c r="G1940" s="1405"/>
    </row>
    <row r="1941" spans="1:7" s="105" customFormat="1" ht="13.5" customHeight="1">
      <c r="A1941" s="1389"/>
      <c r="B1941" s="1388" t="s">
        <v>654</v>
      </c>
      <c r="C1941" s="1389"/>
      <c r="D1941" s="1389" t="s">
        <v>168</v>
      </c>
      <c r="E1941" s="1390">
        <v>1.5</v>
      </c>
      <c r="F1941" s="1376">
        <f>Bahan!E291</f>
        <v>10000</v>
      </c>
      <c r="G1941" s="1376">
        <f t="shared" ref="G1941:G1942" si="177">E1941*F1941</f>
        <v>15000</v>
      </c>
    </row>
    <row r="1942" spans="1:7" s="105" customFormat="1" ht="13.5" customHeight="1">
      <c r="A1942" s="1393"/>
      <c r="B1942" s="1392" t="s">
        <v>536</v>
      </c>
      <c r="C1942" s="1393"/>
      <c r="D1942" s="1393" t="s">
        <v>168</v>
      </c>
      <c r="E1942" s="1394">
        <v>1.2</v>
      </c>
      <c r="F1942" s="1395">
        <f>F1923</f>
        <v>110</v>
      </c>
      <c r="G1942" s="1395">
        <f t="shared" si="177"/>
        <v>132</v>
      </c>
    </row>
    <row r="1943" spans="1:7" s="105" customFormat="1" ht="13.5" customHeight="1">
      <c r="A1943" s="1396" t="s">
        <v>642</v>
      </c>
      <c r="B1943" s="1397"/>
      <c r="C1943" s="1397"/>
      <c r="D1943" s="1398"/>
      <c r="E1943" s="1399"/>
      <c r="F1943" s="1400"/>
      <c r="G1943" s="1401">
        <f>SUM(G1941:G1942)</f>
        <v>15132</v>
      </c>
    </row>
    <row r="1944" spans="1:7" s="105" customFormat="1" ht="13.5" customHeight="1">
      <c r="A1944" s="1358" t="s">
        <v>264</v>
      </c>
      <c r="B1944" s="1359" t="s">
        <v>250</v>
      </c>
      <c r="C1944" s="1358"/>
      <c r="D1944" s="1358"/>
      <c r="E1944" s="1406"/>
      <c r="F1944" s="1361"/>
      <c r="G1944" s="1361"/>
    </row>
    <row r="1945" spans="1:7" s="105" customFormat="1" ht="13.5" customHeight="1">
      <c r="A1945" s="1396" t="s">
        <v>287</v>
      </c>
      <c r="B1945" s="1397"/>
      <c r="C1945" s="1397"/>
      <c r="D1945" s="1398"/>
      <c r="E1945" s="1399"/>
      <c r="F1945" s="1400"/>
      <c r="G1945" s="1401">
        <f>SUM(G1944)</f>
        <v>0</v>
      </c>
    </row>
    <row r="1946" spans="1:7" s="105" customFormat="1" ht="13.5" customHeight="1">
      <c r="A1946" s="1407" t="s">
        <v>281</v>
      </c>
      <c r="B1946" s="1408" t="s">
        <v>292</v>
      </c>
      <c r="C1946" s="1408"/>
      <c r="D1946" s="1407"/>
      <c r="E1946" s="1409"/>
      <c r="F1946" s="1410"/>
      <c r="G1946" s="1411">
        <f>G1939+G1943+G1945</f>
        <v>34282</v>
      </c>
    </row>
    <row r="1947" spans="1:7" s="105" customFormat="1" ht="13.5" customHeight="1">
      <c r="A1947" s="1412" t="s">
        <v>90</v>
      </c>
      <c r="B1947" s="1413" t="s">
        <v>293</v>
      </c>
      <c r="C1947" s="992"/>
      <c r="D1947" s="1414"/>
      <c r="E1947" s="970">
        <f>$I$2</f>
        <v>0.1</v>
      </c>
      <c r="F1947" s="967"/>
      <c r="G1947" s="968">
        <f>+G1946*E1947</f>
        <v>3428.2000000000003</v>
      </c>
    </row>
    <row r="1948" spans="1:7" s="105" customFormat="1" ht="13.5" customHeight="1">
      <c r="A1948" s="1415" t="s">
        <v>94</v>
      </c>
      <c r="B1948" s="1416" t="s">
        <v>86</v>
      </c>
      <c r="C1948" s="1416"/>
      <c r="D1948" s="1417"/>
      <c r="E1948" s="1418"/>
      <c r="F1948" s="1419"/>
      <c r="G1948" s="1420">
        <f>G1946+G1947</f>
        <v>37710.199999999997</v>
      </c>
    </row>
    <row r="1949" spans="1:7" s="105" customFormat="1" ht="9" customHeight="1">
      <c r="A1949" s="980"/>
      <c r="B1949" s="980"/>
      <c r="C1949" s="980"/>
      <c r="D1949" s="980"/>
      <c r="E1949" s="1356"/>
      <c r="F1949" s="1357"/>
      <c r="G1949" s="1357"/>
    </row>
    <row r="1950" spans="1:7" s="105" customFormat="1" ht="13.5" customHeight="1" thickBot="1">
      <c r="A1950" s="1377" t="s">
        <v>655</v>
      </c>
      <c r="B1950" s="1378"/>
      <c r="C1950" s="1378"/>
      <c r="D1950" s="1379"/>
      <c r="E1950" s="1380"/>
      <c r="F1950" s="1381"/>
      <c r="G1950" s="1381"/>
    </row>
    <row r="1951" spans="1:7" s="105" customFormat="1" ht="13.5" customHeight="1" thickTop="1">
      <c r="A1951" s="1797" t="s">
        <v>275</v>
      </c>
      <c r="B1951" s="1799" t="s">
        <v>295</v>
      </c>
      <c r="C1951" s="1799" t="s">
        <v>276</v>
      </c>
      <c r="D1951" s="1799" t="s">
        <v>277</v>
      </c>
      <c r="E1951" s="1801" t="s">
        <v>278</v>
      </c>
      <c r="F1951" s="916" t="s">
        <v>279</v>
      </c>
      <c r="G1951" s="916" t="s">
        <v>280</v>
      </c>
    </row>
    <row r="1952" spans="1:7" s="105" customFormat="1" ht="13.5" customHeight="1">
      <c r="A1952" s="1798"/>
      <c r="B1952" s="1800"/>
      <c r="C1952" s="1800"/>
      <c r="D1952" s="1800"/>
      <c r="E1952" s="1802"/>
      <c r="F1952" s="917" t="s">
        <v>67</v>
      </c>
      <c r="G1952" s="917" t="s">
        <v>67</v>
      </c>
    </row>
    <row r="1953" spans="1:7" s="105" customFormat="1" ht="13.5" customHeight="1">
      <c r="A1953" s="1402" t="s">
        <v>262</v>
      </c>
      <c r="B1953" s="1403" t="s">
        <v>631</v>
      </c>
      <c r="C1953" s="1402"/>
      <c r="D1953" s="1402"/>
      <c r="E1953" s="1404"/>
      <c r="F1953" s="1405"/>
      <c r="G1953" s="1405"/>
    </row>
    <row r="1954" spans="1:7" s="105" customFormat="1" ht="13.5" customHeight="1">
      <c r="A1954" s="1389"/>
      <c r="B1954" s="1388" t="s">
        <v>69</v>
      </c>
      <c r="C1954" s="1389" t="s">
        <v>70</v>
      </c>
      <c r="D1954" s="1389" t="s">
        <v>71</v>
      </c>
      <c r="E1954" s="1390">
        <v>0.16</v>
      </c>
      <c r="F1954" s="1376">
        <f>F1935</f>
        <v>130000</v>
      </c>
      <c r="G1954" s="1376">
        <f>E1954*F1954</f>
        <v>20800</v>
      </c>
    </row>
    <row r="1955" spans="1:7" s="105" customFormat="1" ht="13.5" customHeight="1">
      <c r="A1955" s="1389"/>
      <c r="B1955" s="1388" t="s">
        <v>247</v>
      </c>
      <c r="C1955" s="1389" t="s">
        <v>72</v>
      </c>
      <c r="D1955" s="1389" t="s">
        <v>71</v>
      </c>
      <c r="E1955" s="1390">
        <v>0.26600000000000001</v>
      </c>
      <c r="F1955" s="1376">
        <f t="shared" ref="F1955:F1957" si="178">F1936</f>
        <v>140000</v>
      </c>
      <c r="G1955" s="1376">
        <f>E1955*F1955</f>
        <v>37240</v>
      </c>
    </row>
    <row r="1956" spans="1:7" s="105" customFormat="1" ht="13.5" customHeight="1">
      <c r="A1956" s="1389"/>
      <c r="B1956" s="1388" t="s">
        <v>73</v>
      </c>
      <c r="C1956" s="1389" t="s">
        <v>74</v>
      </c>
      <c r="D1956" s="1389" t="s">
        <v>71</v>
      </c>
      <c r="E1956" s="1390">
        <v>2.7E-2</v>
      </c>
      <c r="F1956" s="1376">
        <f t="shared" si="178"/>
        <v>150000</v>
      </c>
      <c r="G1956" s="1376">
        <f>E1956*F1956</f>
        <v>4050</v>
      </c>
    </row>
    <row r="1957" spans="1:7" s="105" customFormat="1" ht="13.5" customHeight="1">
      <c r="A1957" s="1393"/>
      <c r="B1957" s="1392" t="s">
        <v>50</v>
      </c>
      <c r="C1957" s="1393" t="s">
        <v>75</v>
      </c>
      <c r="D1957" s="1393" t="s">
        <v>71</v>
      </c>
      <c r="E1957" s="1394">
        <v>8.9999999999999993E-3</v>
      </c>
      <c r="F1957" s="1395">
        <f t="shared" si="178"/>
        <v>170000</v>
      </c>
      <c r="G1957" s="1395">
        <f>E1957*F1957</f>
        <v>1529.9999999999998</v>
      </c>
    </row>
    <row r="1958" spans="1:7" s="105" customFormat="1" ht="13.5" customHeight="1">
      <c r="A1958" s="1396" t="s">
        <v>632</v>
      </c>
      <c r="B1958" s="1397"/>
      <c r="C1958" s="1397"/>
      <c r="D1958" s="1398"/>
      <c r="E1958" s="1399"/>
      <c r="F1958" s="1400"/>
      <c r="G1958" s="1401">
        <f>SUM(G1954:G1957)</f>
        <v>63620</v>
      </c>
    </row>
    <row r="1959" spans="1:7" s="105" customFormat="1" ht="13.5" customHeight="1">
      <c r="A1959" s="1402" t="s">
        <v>263</v>
      </c>
      <c r="B1959" s="1403" t="s">
        <v>299</v>
      </c>
      <c r="C1959" s="1402"/>
      <c r="D1959" s="1402"/>
      <c r="E1959" s="1404"/>
      <c r="F1959" s="1405"/>
      <c r="G1959" s="1405"/>
    </row>
    <row r="1960" spans="1:7" s="105" customFormat="1" ht="13.5" customHeight="1">
      <c r="A1960" s="1389"/>
      <c r="B1960" s="1359" t="s">
        <v>656</v>
      </c>
      <c r="C1960" s="1389"/>
      <c r="D1960" s="1389" t="s">
        <v>168</v>
      </c>
      <c r="E1960" s="1390">
        <v>1.5</v>
      </c>
      <c r="F1960" s="1376">
        <f>Bahan!E292</f>
        <v>49500</v>
      </c>
      <c r="G1960" s="1376">
        <f t="shared" ref="G1960:G1961" si="179">E1960*F1960</f>
        <v>74250</v>
      </c>
    </row>
    <row r="1961" spans="1:7" s="105" customFormat="1" ht="13.5" customHeight="1">
      <c r="A1961" s="1393"/>
      <c r="B1961" s="1392" t="s">
        <v>536</v>
      </c>
      <c r="C1961" s="1393"/>
      <c r="D1961" s="1393" t="s">
        <v>168</v>
      </c>
      <c r="E1961" s="1394">
        <v>1.2</v>
      </c>
      <c r="F1961" s="1395">
        <f>F1942</f>
        <v>110</v>
      </c>
      <c r="G1961" s="1395">
        <f t="shared" si="179"/>
        <v>132</v>
      </c>
    </row>
    <row r="1962" spans="1:7" s="105" customFormat="1" ht="13.5" customHeight="1">
      <c r="A1962" s="1396" t="s">
        <v>642</v>
      </c>
      <c r="B1962" s="1397"/>
      <c r="C1962" s="1397"/>
      <c r="D1962" s="1398"/>
      <c r="E1962" s="1399"/>
      <c r="F1962" s="1400"/>
      <c r="G1962" s="1401">
        <f>SUM(G1960:G1961)</f>
        <v>74382</v>
      </c>
    </row>
    <row r="1963" spans="1:7" s="105" customFormat="1" ht="13.5" customHeight="1">
      <c r="A1963" s="1358" t="s">
        <v>264</v>
      </c>
      <c r="B1963" s="1359" t="s">
        <v>250</v>
      </c>
      <c r="C1963" s="1358"/>
      <c r="D1963" s="1358"/>
      <c r="E1963" s="1406"/>
      <c r="F1963" s="1361"/>
      <c r="G1963" s="1361"/>
    </row>
    <row r="1964" spans="1:7" s="105" customFormat="1" ht="12" customHeight="1">
      <c r="A1964" s="1396" t="s">
        <v>287</v>
      </c>
      <c r="B1964" s="1397"/>
      <c r="C1964" s="1397"/>
      <c r="D1964" s="1398"/>
      <c r="E1964" s="1399"/>
      <c r="F1964" s="1400"/>
      <c r="G1964" s="1401">
        <f>SUM(G1963)</f>
        <v>0</v>
      </c>
    </row>
    <row r="1965" spans="1:7" s="105" customFormat="1" ht="13.5" customHeight="1">
      <c r="A1965" s="1407" t="s">
        <v>281</v>
      </c>
      <c r="B1965" s="1408" t="s">
        <v>292</v>
      </c>
      <c r="C1965" s="1408"/>
      <c r="D1965" s="1407"/>
      <c r="E1965" s="1409"/>
      <c r="F1965" s="1410"/>
      <c r="G1965" s="1411">
        <f>G1958+G1962+G1964</f>
        <v>138002</v>
      </c>
    </row>
    <row r="1966" spans="1:7" s="105" customFormat="1" ht="13.5" customHeight="1">
      <c r="A1966" s="1412" t="s">
        <v>90</v>
      </c>
      <c r="B1966" s="1413" t="s">
        <v>293</v>
      </c>
      <c r="C1966" s="992"/>
      <c r="D1966" s="1414"/>
      <c r="E1966" s="970">
        <f>$I$2</f>
        <v>0.1</v>
      </c>
      <c r="F1966" s="967"/>
      <c r="G1966" s="968">
        <f>+G1965*E1966</f>
        <v>13800.2</v>
      </c>
    </row>
    <row r="1967" spans="1:7" s="105" customFormat="1" ht="13.5" customHeight="1">
      <c r="A1967" s="1415" t="s">
        <v>94</v>
      </c>
      <c r="B1967" s="1416" t="s">
        <v>86</v>
      </c>
      <c r="C1967" s="1416"/>
      <c r="D1967" s="1417"/>
      <c r="E1967" s="1418"/>
      <c r="F1967" s="1419"/>
      <c r="G1967" s="1420">
        <f>G1965+G1966</f>
        <v>151802.20000000001</v>
      </c>
    </row>
    <row r="1968" spans="1:7" s="111" customFormat="1" ht="6.75" customHeight="1">
      <c r="A1968" s="1470"/>
      <c r="B1968" s="977"/>
      <c r="C1968" s="977"/>
      <c r="D1968" s="1432"/>
      <c r="E1968" s="1433"/>
      <c r="F1968" s="1434"/>
      <c r="G1968" s="1435"/>
    </row>
    <row r="1969" spans="1:7" s="105" customFormat="1" ht="13.5" customHeight="1" thickBot="1">
      <c r="A1969" s="1397" t="s">
        <v>657</v>
      </c>
      <c r="B1969" s="1378"/>
      <c r="C1969" s="1378"/>
      <c r="D1969" s="1379"/>
      <c r="E1969" s="1380"/>
      <c r="F1969" s="1381"/>
      <c r="G1969" s="1381"/>
    </row>
    <row r="1970" spans="1:7" s="105" customFormat="1" ht="13.5" customHeight="1" thickTop="1">
      <c r="A1970" s="1797" t="s">
        <v>275</v>
      </c>
      <c r="B1970" s="1799" t="s">
        <v>295</v>
      </c>
      <c r="C1970" s="1799" t="s">
        <v>276</v>
      </c>
      <c r="D1970" s="1799" t="s">
        <v>277</v>
      </c>
      <c r="E1970" s="1801" t="s">
        <v>278</v>
      </c>
      <c r="F1970" s="916" t="s">
        <v>279</v>
      </c>
      <c r="G1970" s="916" t="s">
        <v>280</v>
      </c>
    </row>
    <row r="1971" spans="1:7" s="105" customFormat="1" ht="13.5" customHeight="1">
      <c r="A1971" s="1798"/>
      <c r="B1971" s="1800"/>
      <c r="C1971" s="1800"/>
      <c r="D1971" s="1800"/>
      <c r="E1971" s="1802"/>
      <c r="F1971" s="917" t="s">
        <v>67</v>
      </c>
      <c r="G1971" s="917" t="s">
        <v>67</v>
      </c>
    </row>
    <row r="1972" spans="1:7" s="105" customFormat="1" ht="13.5" customHeight="1">
      <c r="A1972" s="1402" t="s">
        <v>262</v>
      </c>
      <c r="B1972" s="1403" t="s">
        <v>631</v>
      </c>
      <c r="C1972" s="1402"/>
      <c r="D1972" s="1402"/>
      <c r="E1972" s="1404"/>
      <c r="F1972" s="1405"/>
      <c r="G1972" s="1405"/>
    </row>
    <row r="1973" spans="1:7" s="105" customFormat="1" ht="13.5" customHeight="1">
      <c r="A1973" s="1389"/>
      <c r="B1973" s="1388" t="s">
        <v>69</v>
      </c>
      <c r="C1973" s="1389" t="s">
        <v>70</v>
      </c>
      <c r="D1973" s="1389" t="s">
        <v>71</v>
      </c>
      <c r="E1973" s="1390">
        <v>0.255</v>
      </c>
      <c r="F1973" s="1376">
        <f>F1954</f>
        <v>130000</v>
      </c>
      <c r="G1973" s="1376">
        <f>E1973*F1973</f>
        <v>33150</v>
      </c>
    </row>
    <row r="1974" spans="1:7" s="105" customFormat="1" ht="13.5" customHeight="1">
      <c r="A1974" s="1389"/>
      <c r="B1974" s="1388" t="s">
        <v>247</v>
      </c>
      <c r="C1974" s="1389" t="s">
        <v>72</v>
      </c>
      <c r="D1974" s="1389" t="s">
        <v>71</v>
      </c>
      <c r="E1974" s="1390">
        <v>0.42499999999999999</v>
      </c>
      <c r="F1974" s="1376">
        <f>F1955</f>
        <v>140000</v>
      </c>
      <c r="G1974" s="1376">
        <f>E1974*F1974</f>
        <v>59500</v>
      </c>
    </row>
    <row r="1975" spans="1:7" s="105" customFormat="1" ht="13.5" customHeight="1">
      <c r="A1975" s="1389"/>
      <c r="B1975" s="1388" t="s">
        <v>73</v>
      </c>
      <c r="C1975" s="1389" t="s">
        <v>74</v>
      </c>
      <c r="D1975" s="1389" t="s">
        <v>71</v>
      </c>
      <c r="E1975" s="1390">
        <v>4.2999999999999997E-2</v>
      </c>
      <c r="F1975" s="1376">
        <f>F1956</f>
        <v>150000</v>
      </c>
      <c r="G1975" s="1376">
        <f>E1975*F1975</f>
        <v>6449.9999999999991</v>
      </c>
    </row>
    <row r="1976" spans="1:7" s="105" customFormat="1" ht="13.5" customHeight="1">
      <c r="A1976" s="1393"/>
      <c r="B1976" s="1392" t="s">
        <v>50</v>
      </c>
      <c r="C1976" s="1393" t="s">
        <v>75</v>
      </c>
      <c r="D1976" s="1393" t="s">
        <v>71</v>
      </c>
      <c r="E1976" s="1394">
        <v>1.4E-2</v>
      </c>
      <c r="F1976" s="1395">
        <f>F1957</f>
        <v>170000</v>
      </c>
      <c r="G1976" s="1395">
        <f>E1976*F1976</f>
        <v>2380</v>
      </c>
    </row>
    <row r="1977" spans="1:7" s="105" customFormat="1" ht="13.5" customHeight="1">
      <c r="A1977" s="1396" t="s">
        <v>632</v>
      </c>
      <c r="B1977" s="1397"/>
      <c r="C1977" s="1397"/>
      <c r="D1977" s="1398"/>
      <c r="E1977" s="1399"/>
      <c r="F1977" s="1400"/>
      <c r="G1977" s="1401">
        <f>SUM(G1973:G1976)</f>
        <v>101480</v>
      </c>
    </row>
    <row r="1978" spans="1:7" s="105" customFormat="1" ht="13.5" customHeight="1">
      <c r="A1978" s="1402" t="s">
        <v>263</v>
      </c>
      <c r="B1978" s="1403" t="s">
        <v>299</v>
      </c>
      <c r="C1978" s="1402"/>
      <c r="D1978" s="1402"/>
      <c r="E1978" s="1404"/>
      <c r="F1978" s="1405"/>
      <c r="G1978" s="1405"/>
    </row>
    <row r="1979" spans="1:7" s="105" customFormat="1" ht="13.5" customHeight="1">
      <c r="A1979" s="1389"/>
      <c r="B1979" s="1388" t="s">
        <v>658</v>
      </c>
      <c r="C1979" s="1389"/>
      <c r="D1979" s="1389" t="s">
        <v>168</v>
      </c>
      <c r="E1979" s="1390">
        <v>1.5</v>
      </c>
      <c r="F1979" s="1376">
        <f>Bahan!E294</f>
        <v>102750</v>
      </c>
      <c r="G1979" s="1376">
        <f t="shared" ref="G1979:G1980" si="180">E1979*F1979</f>
        <v>154125</v>
      </c>
    </row>
    <row r="1980" spans="1:7" s="105" customFormat="1" ht="13.5" customHeight="1">
      <c r="A1980" s="1393"/>
      <c r="B1980" s="1392" t="s">
        <v>536</v>
      </c>
      <c r="C1980" s="1393"/>
      <c r="D1980" s="1393" t="s">
        <v>168</v>
      </c>
      <c r="E1980" s="1394">
        <v>1.2</v>
      </c>
      <c r="F1980" s="1395">
        <f>F1961</f>
        <v>110</v>
      </c>
      <c r="G1980" s="1395">
        <f t="shared" si="180"/>
        <v>132</v>
      </c>
    </row>
    <row r="1981" spans="1:7" s="105" customFormat="1" ht="13.5" customHeight="1">
      <c r="A1981" s="1396" t="s">
        <v>642</v>
      </c>
      <c r="B1981" s="1397"/>
      <c r="C1981" s="1397"/>
      <c r="D1981" s="1398"/>
      <c r="E1981" s="1399"/>
      <c r="F1981" s="1400"/>
      <c r="G1981" s="1401">
        <f>SUM(G1979:G1980)</f>
        <v>154257</v>
      </c>
    </row>
    <row r="1982" spans="1:7" s="105" customFormat="1" ht="13.5" customHeight="1">
      <c r="A1982" s="1358" t="s">
        <v>264</v>
      </c>
      <c r="B1982" s="1359" t="s">
        <v>250</v>
      </c>
      <c r="C1982" s="1358"/>
      <c r="D1982" s="1358"/>
      <c r="E1982" s="1406"/>
      <c r="F1982" s="1361"/>
      <c r="G1982" s="1361"/>
    </row>
    <row r="1983" spans="1:7" s="105" customFormat="1" ht="12" customHeight="1">
      <c r="A1983" s="1396" t="s">
        <v>287</v>
      </c>
      <c r="B1983" s="1397"/>
      <c r="C1983" s="1397"/>
      <c r="D1983" s="1398"/>
      <c r="E1983" s="1399"/>
      <c r="F1983" s="1400"/>
      <c r="G1983" s="1401">
        <f>SUM(G1982)</f>
        <v>0</v>
      </c>
    </row>
    <row r="1984" spans="1:7" s="105" customFormat="1" ht="13.5" customHeight="1">
      <c r="A1984" s="1407" t="s">
        <v>281</v>
      </c>
      <c r="B1984" s="1427" t="s">
        <v>292</v>
      </c>
      <c r="C1984" s="1471"/>
      <c r="D1984" s="1472"/>
      <c r="E1984" s="1473"/>
      <c r="F1984" s="1474"/>
      <c r="G1984" s="1411">
        <f>G1977+G1981+G1983</f>
        <v>255737</v>
      </c>
    </row>
    <row r="1985" spans="1:7" s="105" customFormat="1" ht="13.5" customHeight="1">
      <c r="A1985" s="1412" t="s">
        <v>90</v>
      </c>
      <c r="B1985" s="1413" t="s">
        <v>293</v>
      </c>
      <c r="C1985" s="1475"/>
      <c r="D1985" s="1431"/>
      <c r="E1985" s="970">
        <f>$I$2</f>
        <v>0.1</v>
      </c>
      <c r="F1985" s="967"/>
      <c r="G1985" s="968">
        <f>+G1984*E1985</f>
        <v>25573.7</v>
      </c>
    </row>
    <row r="1986" spans="1:7" s="105" customFormat="1" ht="13.5" customHeight="1">
      <c r="A1986" s="1415" t="s">
        <v>94</v>
      </c>
      <c r="B1986" s="1430" t="s">
        <v>86</v>
      </c>
      <c r="C1986" s="1458"/>
      <c r="D1986" s="1476"/>
      <c r="E1986" s="1477"/>
      <c r="F1986" s="1478"/>
      <c r="G1986" s="1420">
        <f>G1984+G1985</f>
        <v>281310.7</v>
      </c>
    </row>
    <row r="1987" spans="1:7" s="105" customFormat="1" ht="9.75" customHeight="1">
      <c r="A1987" s="10"/>
      <c r="B1987" s="10"/>
      <c r="C1987" s="10"/>
      <c r="D1987" s="10"/>
      <c r="E1987" s="1004"/>
      <c r="F1987" s="10"/>
      <c r="G1987" s="46"/>
    </row>
    <row r="1988" spans="1:7" s="111" customFormat="1" ht="15" thickBot="1">
      <c r="A1988" s="10" t="s">
        <v>1016</v>
      </c>
      <c r="B1988" s="10"/>
      <c r="C1988" s="10"/>
      <c r="D1988" s="10"/>
      <c r="E1988" s="10"/>
      <c r="F1988" s="10"/>
      <c r="G1988" s="10"/>
    </row>
    <row r="1989" spans="1:7" s="111" customFormat="1" ht="15" thickTop="1">
      <c r="A1989" s="1797" t="s">
        <v>275</v>
      </c>
      <c r="B1989" s="1799" t="s">
        <v>295</v>
      </c>
      <c r="C1989" s="1799" t="s">
        <v>276</v>
      </c>
      <c r="D1989" s="1799" t="s">
        <v>277</v>
      </c>
      <c r="E1989" s="1801" t="s">
        <v>278</v>
      </c>
      <c r="F1989" s="916" t="s">
        <v>279</v>
      </c>
      <c r="G1989" s="916" t="s">
        <v>280</v>
      </c>
    </row>
    <row r="1990" spans="1:7" s="111" customFormat="1">
      <c r="A1990" s="1798"/>
      <c r="B1990" s="1800"/>
      <c r="C1990" s="1800"/>
      <c r="D1990" s="1800"/>
      <c r="E1990" s="1802"/>
      <c r="F1990" s="917" t="s">
        <v>67</v>
      </c>
      <c r="G1990" s="917" t="s">
        <v>67</v>
      </c>
    </row>
    <row r="1991" spans="1:7" s="111" customFormat="1">
      <c r="A1991" s="1479" t="s">
        <v>262</v>
      </c>
      <c r="B1991" s="1480" t="s">
        <v>718</v>
      </c>
      <c r="C1991" s="1481"/>
      <c r="D1991" s="1481"/>
      <c r="E1991" s="1481"/>
      <c r="F1991" s="1481"/>
      <c r="G1991" s="1129"/>
    </row>
    <row r="1992" spans="1:7" s="111" customFormat="1">
      <c r="A1992" s="1482"/>
      <c r="B1992" s="1115" t="s">
        <v>69</v>
      </c>
      <c r="C1992" s="1483" t="s">
        <v>70</v>
      </c>
      <c r="D1992" s="1483" t="s">
        <v>71</v>
      </c>
      <c r="E1992" s="1114">
        <v>5.3999999999999999E-2</v>
      </c>
      <c r="F1992" s="1115">
        <f>F1973</f>
        <v>130000</v>
      </c>
      <c r="G1992" s="1116">
        <f>F1992*E1992</f>
        <v>7020</v>
      </c>
    </row>
    <row r="1993" spans="1:7" s="111" customFormat="1">
      <c r="A1993" s="1482"/>
      <c r="B1993" s="1115" t="s">
        <v>742</v>
      </c>
      <c r="C1993" s="1483" t="s">
        <v>72</v>
      </c>
      <c r="D1993" s="1483" t="s">
        <v>71</v>
      </c>
      <c r="E1993" s="1114">
        <v>0.09</v>
      </c>
      <c r="F1993" s="1115">
        <f t="shared" ref="F1993:F1995" si="181">F1974</f>
        <v>140000</v>
      </c>
      <c r="G1993" s="1116">
        <f>F1993*E1993</f>
        <v>12600</v>
      </c>
    </row>
    <row r="1994" spans="1:7" s="111" customFormat="1">
      <c r="A1994" s="1482"/>
      <c r="B1994" s="1115" t="s">
        <v>720</v>
      </c>
      <c r="C1994" s="1483" t="s">
        <v>74</v>
      </c>
      <c r="D1994" s="1483" t="s">
        <v>71</v>
      </c>
      <c r="E1994" s="1114">
        <v>8.9999999999999993E-3</v>
      </c>
      <c r="F1994" s="1115">
        <f t="shared" si="181"/>
        <v>150000</v>
      </c>
      <c r="G1994" s="1116">
        <f>F1994*E1994</f>
        <v>1350</v>
      </c>
    </row>
    <row r="1995" spans="1:7" s="111" customFormat="1">
      <c r="A1995" s="1484"/>
      <c r="B1995" s="1121" t="s">
        <v>50</v>
      </c>
      <c r="C1995" s="1485" t="s">
        <v>75</v>
      </c>
      <c r="D1995" s="1485" t="s">
        <v>71</v>
      </c>
      <c r="E1995" s="1120">
        <v>2.7E-2</v>
      </c>
      <c r="F1995" s="1115">
        <f t="shared" si="181"/>
        <v>170000</v>
      </c>
      <c r="G1995" s="1122">
        <f>F1995*E1995</f>
        <v>4590</v>
      </c>
    </row>
    <row r="1996" spans="1:7" s="111" customFormat="1">
      <c r="A1996" s="1486"/>
      <c r="B1996" s="1487"/>
      <c r="C1996" s="1487"/>
      <c r="D1996" s="1487"/>
      <c r="E1996" s="1819" t="s">
        <v>76</v>
      </c>
      <c r="F1996" s="1820"/>
      <c r="G1996" s="1125">
        <f>SUM(G1992:G1995)</f>
        <v>25560</v>
      </c>
    </row>
    <row r="1997" spans="1:7" s="111" customFormat="1">
      <c r="A1997" s="1479" t="s">
        <v>263</v>
      </c>
      <c r="B1997" s="1480" t="s">
        <v>78</v>
      </c>
      <c r="C1997" s="1481"/>
      <c r="D1997" s="1481"/>
      <c r="E1997" s="1481"/>
      <c r="F1997" s="1481"/>
      <c r="G1997" s="1129"/>
    </row>
    <row r="1998" spans="1:7" s="111" customFormat="1">
      <c r="A1998" s="1488"/>
      <c r="B1998" s="1115" t="s">
        <v>1005</v>
      </c>
      <c r="C1998" s="1115"/>
      <c r="D1998" s="1483" t="s">
        <v>274</v>
      </c>
      <c r="E1998" s="1489">
        <v>1.2</v>
      </c>
      <c r="F1998" s="1132">
        <f>Bahan!E295</f>
        <v>104667.5</v>
      </c>
      <c r="G1998" s="1490">
        <f>F1998*E1998</f>
        <v>125601</v>
      </c>
    </row>
    <row r="1999" spans="1:7" s="111" customFormat="1">
      <c r="A1999" s="1491"/>
      <c r="B1999" s="1121" t="s">
        <v>1006</v>
      </c>
      <c r="C1999" s="1121"/>
      <c r="D1999" s="1485" t="s">
        <v>91</v>
      </c>
      <c r="E1999" s="1492">
        <v>0.35</v>
      </c>
      <c r="F1999" s="1493"/>
      <c r="G1999" s="1494">
        <f>F1998*35%</f>
        <v>36633.625</v>
      </c>
    </row>
    <row r="2000" spans="1:7" s="111" customFormat="1">
      <c r="A2000" s="1486"/>
      <c r="B2000" s="1487"/>
      <c r="C2000" s="1487"/>
      <c r="D2000" s="1487"/>
      <c r="E2000" s="1819" t="s">
        <v>79</v>
      </c>
      <c r="F2000" s="1821"/>
      <c r="G2000" s="1125">
        <f>SUM(G1998:G1999)</f>
        <v>162234.625</v>
      </c>
    </row>
    <row r="2001" spans="1:7" s="111" customFormat="1">
      <c r="A2001" s="1479" t="s">
        <v>264</v>
      </c>
      <c r="B2001" s="1480" t="s">
        <v>81</v>
      </c>
      <c r="C2001" s="1481"/>
      <c r="D2001" s="1481"/>
      <c r="E2001" s="1481"/>
      <c r="F2001" s="1481"/>
      <c r="G2001" s="1129"/>
    </row>
    <row r="2002" spans="1:7" s="111" customFormat="1">
      <c r="A2002" s="1484"/>
      <c r="B2002" s="1121"/>
      <c r="C2002" s="1121"/>
      <c r="D2002" s="1121"/>
      <c r="E2002" s="1876" t="s">
        <v>82</v>
      </c>
      <c r="F2002" s="1877"/>
      <c r="G2002" s="1122">
        <v>0</v>
      </c>
    </row>
    <row r="2003" spans="1:7" s="111" customFormat="1">
      <c r="A2003" s="1495" t="s">
        <v>281</v>
      </c>
      <c r="B2003" s="1878" t="s">
        <v>282</v>
      </c>
      <c r="C2003" s="1878"/>
      <c r="D2003" s="1878"/>
      <c r="E2003" s="1878"/>
      <c r="F2003" s="1878"/>
      <c r="G2003" s="1140">
        <f>G2002+G2000+G1996</f>
        <v>187794.625</v>
      </c>
    </row>
    <row r="2004" spans="1:7" s="111" customFormat="1">
      <c r="A2004" s="1496" t="s">
        <v>90</v>
      </c>
      <c r="B2004" s="1825" t="s">
        <v>619</v>
      </c>
      <c r="C2004" s="1826"/>
      <c r="D2004" s="1826"/>
      <c r="E2004" s="970">
        <f>$I$2</f>
        <v>0.1</v>
      </c>
      <c r="F2004" s="967"/>
      <c r="G2004" s="968">
        <f>+G2003*E2004</f>
        <v>18779.462500000001</v>
      </c>
    </row>
    <row r="2005" spans="1:7" s="111" customFormat="1">
      <c r="A2005" s="1497" t="s">
        <v>94</v>
      </c>
      <c r="B2005" s="1879" t="s">
        <v>86</v>
      </c>
      <c r="C2005" s="1879"/>
      <c r="D2005" s="1879"/>
      <c r="E2005" s="1879"/>
      <c r="F2005" s="1879"/>
      <c r="G2005" s="1498">
        <f>G2003+G2004</f>
        <v>206574.08749999999</v>
      </c>
    </row>
    <row r="2006" spans="1:7" s="111" customFormat="1">
      <c r="A2006" s="10"/>
      <c r="B2006" s="10"/>
      <c r="C2006" s="10"/>
      <c r="D2006" s="10"/>
      <c r="E2006" s="10"/>
      <c r="F2006" s="10"/>
      <c r="G2006" s="10"/>
    </row>
    <row r="2007" spans="1:7" s="111" customFormat="1" ht="15" thickBot="1">
      <c r="A2007" s="10" t="s">
        <v>1015</v>
      </c>
      <c r="B2007" s="10"/>
      <c r="C2007" s="10"/>
      <c r="D2007" s="10"/>
      <c r="E2007" s="10"/>
      <c r="F2007" s="10"/>
      <c r="G2007" s="10"/>
    </row>
    <row r="2008" spans="1:7" s="111" customFormat="1" ht="15" thickTop="1">
      <c r="A2008" s="1797" t="s">
        <v>275</v>
      </c>
      <c r="B2008" s="1799" t="s">
        <v>295</v>
      </c>
      <c r="C2008" s="1799" t="s">
        <v>276</v>
      </c>
      <c r="D2008" s="1799" t="s">
        <v>277</v>
      </c>
      <c r="E2008" s="1801" t="s">
        <v>278</v>
      </c>
      <c r="F2008" s="916" t="s">
        <v>279</v>
      </c>
      <c r="G2008" s="916" t="s">
        <v>280</v>
      </c>
    </row>
    <row r="2009" spans="1:7" s="111" customFormat="1">
      <c r="A2009" s="1798"/>
      <c r="B2009" s="1800"/>
      <c r="C2009" s="1800"/>
      <c r="D2009" s="1800"/>
      <c r="E2009" s="1802"/>
      <c r="F2009" s="917" t="s">
        <v>67</v>
      </c>
      <c r="G2009" s="917" t="s">
        <v>67</v>
      </c>
    </row>
    <row r="2010" spans="1:7" s="111" customFormat="1">
      <c r="A2010" s="1479" t="s">
        <v>262</v>
      </c>
      <c r="B2010" s="1480" t="s">
        <v>718</v>
      </c>
      <c r="C2010" s="1481"/>
      <c r="D2010" s="1481"/>
      <c r="E2010" s="1481"/>
      <c r="F2010" s="1481"/>
      <c r="G2010" s="1129"/>
    </row>
    <row r="2011" spans="1:7" s="111" customFormat="1">
      <c r="A2011" s="1482"/>
      <c r="B2011" s="1115" t="s">
        <v>69</v>
      </c>
      <c r="C2011" s="1483" t="s">
        <v>70</v>
      </c>
      <c r="D2011" s="1483" t="s">
        <v>71</v>
      </c>
      <c r="E2011" s="1114">
        <f>(E1992+E2031)/2</f>
        <v>9.4500000000000001E-2</v>
      </c>
      <c r="F2011" s="1115">
        <f>F1992</f>
        <v>130000</v>
      </c>
      <c r="G2011" s="1116">
        <f>F2011*E2011</f>
        <v>12285</v>
      </c>
    </row>
    <row r="2012" spans="1:7" s="111" customFormat="1">
      <c r="A2012" s="1482"/>
      <c r="B2012" s="1115" t="s">
        <v>742</v>
      </c>
      <c r="C2012" s="1483" t="s">
        <v>72</v>
      </c>
      <c r="D2012" s="1483" t="s">
        <v>71</v>
      </c>
      <c r="E2012" s="1114">
        <f>(E1993+E2032)/2</f>
        <v>0.1575</v>
      </c>
      <c r="F2012" s="1115">
        <f>F1993</f>
        <v>140000</v>
      </c>
      <c r="G2012" s="1116">
        <f>F2012*E2012</f>
        <v>22050</v>
      </c>
    </row>
    <row r="2013" spans="1:7" s="111" customFormat="1">
      <c r="A2013" s="1482"/>
      <c r="B2013" s="1115" t="s">
        <v>720</v>
      </c>
      <c r="C2013" s="1483" t="s">
        <v>74</v>
      </c>
      <c r="D2013" s="1483" t="s">
        <v>71</v>
      </c>
      <c r="E2013" s="1114">
        <f>(E1994+E2033)/2</f>
        <v>1.6E-2</v>
      </c>
      <c r="F2013" s="1115">
        <f>F1994</f>
        <v>150000</v>
      </c>
      <c r="G2013" s="1116">
        <f>F2013*E2013</f>
        <v>2400</v>
      </c>
    </row>
    <row r="2014" spans="1:7" s="111" customFormat="1">
      <c r="A2014" s="1484"/>
      <c r="B2014" s="1121" t="s">
        <v>50</v>
      </c>
      <c r="C2014" s="1485" t="s">
        <v>75</v>
      </c>
      <c r="D2014" s="1485" t="s">
        <v>71</v>
      </c>
      <c r="E2014" s="1114">
        <f>(E1995+E2034)/2</f>
        <v>1.7000000000000001E-2</v>
      </c>
      <c r="F2014" s="1115">
        <f>F1995</f>
        <v>170000</v>
      </c>
      <c r="G2014" s="1122">
        <f>F2014*E2014</f>
        <v>2890</v>
      </c>
    </row>
    <row r="2015" spans="1:7" s="111" customFormat="1">
      <c r="A2015" s="1486"/>
      <c r="B2015" s="1487"/>
      <c r="C2015" s="1487"/>
      <c r="D2015" s="1487"/>
      <c r="E2015" s="1819" t="s">
        <v>76</v>
      </c>
      <c r="F2015" s="1820"/>
      <c r="G2015" s="1125">
        <f>SUM(G2011:G2014)</f>
        <v>39625</v>
      </c>
    </row>
    <row r="2016" spans="1:7" s="111" customFormat="1">
      <c r="A2016" s="1479" t="s">
        <v>263</v>
      </c>
      <c r="B2016" s="1480" t="s">
        <v>78</v>
      </c>
      <c r="C2016" s="1481"/>
      <c r="D2016" s="1481"/>
      <c r="E2016" s="1481"/>
      <c r="F2016" s="1481"/>
      <c r="G2016" s="1129"/>
    </row>
    <row r="2017" spans="1:7" s="111" customFormat="1">
      <c r="A2017" s="1488"/>
      <c r="B2017" s="1115" t="s">
        <v>1007</v>
      </c>
      <c r="C2017" s="1115"/>
      <c r="D2017" s="1483" t="s">
        <v>274</v>
      </c>
      <c r="E2017" s="1489">
        <v>1.2</v>
      </c>
      <c r="F2017" s="1132">
        <f>Bahan!E296</f>
        <v>157595</v>
      </c>
      <c r="G2017" s="1490">
        <f>F2017*E2017</f>
        <v>189114</v>
      </c>
    </row>
    <row r="2018" spans="1:7" s="111" customFormat="1">
      <c r="A2018" s="1491"/>
      <c r="B2018" s="1121" t="s">
        <v>1006</v>
      </c>
      <c r="C2018" s="1121"/>
      <c r="D2018" s="1485" t="s">
        <v>91</v>
      </c>
      <c r="E2018" s="1492">
        <v>0.35</v>
      </c>
      <c r="F2018" s="1493"/>
      <c r="G2018" s="1494">
        <f>F2017*35%</f>
        <v>55158.25</v>
      </c>
    </row>
    <row r="2019" spans="1:7" s="111" customFormat="1">
      <c r="A2019" s="1486"/>
      <c r="B2019" s="1487"/>
      <c r="C2019" s="1487"/>
      <c r="D2019" s="1487"/>
      <c r="E2019" s="1819" t="s">
        <v>79</v>
      </c>
      <c r="F2019" s="1821"/>
      <c r="G2019" s="1125">
        <f>SUM(G2017:G2018)</f>
        <v>244272.25</v>
      </c>
    </row>
    <row r="2020" spans="1:7" s="111" customFormat="1">
      <c r="A2020" s="1479" t="s">
        <v>264</v>
      </c>
      <c r="B2020" s="1480" t="s">
        <v>81</v>
      </c>
      <c r="C2020" s="1481"/>
      <c r="D2020" s="1481"/>
      <c r="E2020" s="1481"/>
      <c r="F2020" s="1481"/>
      <c r="G2020" s="1129"/>
    </row>
    <row r="2021" spans="1:7" s="111" customFormat="1">
      <c r="A2021" s="1484"/>
      <c r="B2021" s="1121"/>
      <c r="C2021" s="1121"/>
      <c r="D2021" s="1121"/>
      <c r="E2021" s="1121"/>
      <c r="F2021" s="1121"/>
      <c r="G2021" s="1122"/>
    </row>
    <row r="2022" spans="1:7" s="111" customFormat="1">
      <c r="A2022" s="1486"/>
      <c r="B2022" s="1487"/>
      <c r="C2022" s="1487"/>
      <c r="D2022" s="1487"/>
      <c r="E2022" s="1819" t="s">
        <v>82</v>
      </c>
      <c r="F2022" s="1820"/>
      <c r="G2022" s="1138">
        <v>0</v>
      </c>
    </row>
    <row r="2023" spans="1:7" s="111" customFormat="1">
      <c r="A2023" s="1495" t="s">
        <v>281</v>
      </c>
      <c r="B2023" s="1822" t="s">
        <v>282</v>
      </c>
      <c r="C2023" s="1823"/>
      <c r="D2023" s="1823"/>
      <c r="E2023" s="1823"/>
      <c r="F2023" s="1824"/>
      <c r="G2023" s="1140">
        <f>G2022+G2019+G2015</f>
        <v>283897.25</v>
      </c>
    </row>
    <row r="2024" spans="1:7" s="111" customFormat="1">
      <c r="A2024" s="1496" t="s">
        <v>90</v>
      </c>
      <c r="B2024" s="1825" t="s">
        <v>619</v>
      </c>
      <c r="C2024" s="1826"/>
      <c r="D2024" s="1826"/>
      <c r="E2024" s="970">
        <f>$I$2</f>
        <v>0.1</v>
      </c>
      <c r="F2024" s="967"/>
      <c r="G2024" s="968">
        <f>+G2023*E2024</f>
        <v>28389.725000000002</v>
      </c>
    </row>
    <row r="2025" spans="1:7" s="111" customFormat="1">
      <c r="A2025" s="1497" t="s">
        <v>94</v>
      </c>
      <c r="B2025" s="1827" t="s">
        <v>86</v>
      </c>
      <c r="C2025" s="1828"/>
      <c r="D2025" s="1828"/>
      <c r="E2025" s="1828"/>
      <c r="F2025" s="1829"/>
      <c r="G2025" s="1498">
        <f>G2023+G2024</f>
        <v>312286.97499999998</v>
      </c>
    </row>
    <row r="2026" spans="1:7" s="111" customFormat="1">
      <c r="A2026" s="10"/>
      <c r="B2026" s="10"/>
      <c r="C2026" s="10"/>
      <c r="D2026" s="10"/>
      <c r="E2026" s="10"/>
      <c r="F2026" s="10"/>
      <c r="G2026" s="10"/>
    </row>
    <row r="2027" spans="1:7" s="111" customFormat="1" ht="15" thickBot="1">
      <c r="A2027" s="10" t="s">
        <v>1017</v>
      </c>
      <c r="B2027" s="10"/>
      <c r="C2027" s="10"/>
      <c r="D2027" s="10"/>
      <c r="E2027" s="10"/>
      <c r="F2027" s="10"/>
      <c r="G2027" s="10"/>
    </row>
    <row r="2028" spans="1:7" s="111" customFormat="1" ht="15" thickTop="1">
      <c r="A2028" s="1797" t="s">
        <v>275</v>
      </c>
      <c r="B2028" s="1799" t="s">
        <v>295</v>
      </c>
      <c r="C2028" s="1799" t="s">
        <v>276</v>
      </c>
      <c r="D2028" s="1799" t="s">
        <v>277</v>
      </c>
      <c r="E2028" s="1801" t="s">
        <v>278</v>
      </c>
      <c r="F2028" s="916" t="s">
        <v>279</v>
      </c>
      <c r="G2028" s="916" t="s">
        <v>280</v>
      </c>
    </row>
    <row r="2029" spans="1:7" s="111" customFormat="1">
      <c r="A2029" s="1798"/>
      <c r="B2029" s="1800"/>
      <c r="C2029" s="1800"/>
      <c r="D2029" s="1800"/>
      <c r="E2029" s="1802"/>
      <c r="F2029" s="917" t="s">
        <v>67</v>
      </c>
      <c r="G2029" s="917" t="s">
        <v>67</v>
      </c>
    </row>
    <row r="2030" spans="1:7" s="111" customFormat="1">
      <c r="A2030" s="1479" t="s">
        <v>262</v>
      </c>
      <c r="B2030" s="1480" t="s">
        <v>718</v>
      </c>
      <c r="C2030" s="1481"/>
      <c r="D2030" s="1481"/>
      <c r="E2030" s="1481"/>
      <c r="F2030" s="1481"/>
      <c r="G2030" s="1129"/>
    </row>
    <row r="2031" spans="1:7" s="111" customFormat="1">
      <c r="A2031" s="1482"/>
      <c r="B2031" s="1115" t="s">
        <v>69</v>
      </c>
      <c r="C2031" s="1483" t="s">
        <v>70</v>
      </c>
      <c r="D2031" s="1483" t="s">
        <v>71</v>
      </c>
      <c r="E2031" s="1114">
        <v>0.13500000000000001</v>
      </c>
      <c r="F2031" s="1115">
        <f>F1954</f>
        <v>130000</v>
      </c>
      <c r="G2031" s="1116">
        <f>F2031*E2031</f>
        <v>17550</v>
      </c>
    </row>
    <row r="2032" spans="1:7" s="111" customFormat="1">
      <c r="A2032" s="1482"/>
      <c r="B2032" s="1115" t="s">
        <v>742</v>
      </c>
      <c r="C2032" s="1483" t="s">
        <v>72</v>
      </c>
      <c r="D2032" s="1483" t="s">
        <v>71</v>
      </c>
      <c r="E2032" s="1114">
        <v>0.22500000000000001</v>
      </c>
      <c r="F2032" s="1115">
        <f>F1955</f>
        <v>140000</v>
      </c>
      <c r="G2032" s="1116">
        <f>F2032*E2032</f>
        <v>31500</v>
      </c>
    </row>
    <row r="2033" spans="1:7" s="111" customFormat="1">
      <c r="A2033" s="1482"/>
      <c r="B2033" s="1115" t="s">
        <v>720</v>
      </c>
      <c r="C2033" s="1483" t="s">
        <v>74</v>
      </c>
      <c r="D2033" s="1483" t="s">
        <v>71</v>
      </c>
      <c r="E2033" s="1114">
        <v>2.3E-2</v>
      </c>
      <c r="F2033" s="1115">
        <f>F1956</f>
        <v>150000</v>
      </c>
      <c r="G2033" s="1116">
        <f>F2033*E2033</f>
        <v>3450</v>
      </c>
    </row>
    <row r="2034" spans="1:7" s="111" customFormat="1">
      <c r="A2034" s="1484"/>
      <c r="B2034" s="1121" t="s">
        <v>50</v>
      </c>
      <c r="C2034" s="1485" t="s">
        <v>75</v>
      </c>
      <c r="D2034" s="1485" t="s">
        <v>71</v>
      </c>
      <c r="E2034" s="1120">
        <v>7.0000000000000001E-3</v>
      </c>
      <c r="F2034" s="1121">
        <f>F1957</f>
        <v>170000</v>
      </c>
      <c r="G2034" s="1122">
        <f>F2034*E2034</f>
        <v>1190</v>
      </c>
    </row>
    <row r="2035" spans="1:7" s="111" customFormat="1">
      <c r="A2035" s="1486"/>
      <c r="B2035" s="1487"/>
      <c r="C2035" s="1487"/>
      <c r="D2035" s="1487"/>
      <c r="E2035" s="1819" t="s">
        <v>76</v>
      </c>
      <c r="F2035" s="1820"/>
      <c r="G2035" s="1125">
        <f>SUM(G2031:G2034)</f>
        <v>53690</v>
      </c>
    </row>
    <row r="2036" spans="1:7" s="111" customFormat="1">
      <c r="A2036" s="1479" t="s">
        <v>263</v>
      </c>
      <c r="B2036" s="1480" t="s">
        <v>78</v>
      </c>
      <c r="C2036" s="1481"/>
      <c r="D2036" s="1481"/>
      <c r="E2036" s="1481"/>
      <c r="F2036" s="1481"/>
      <c r="G2036" s="1129"/>
    </row>
    <row r="2037" spans="1:7" s="111" customFormat="1">
      <c r="A2037" s="1488"/>
      <c r="B2037" s="1115" t="s">
        <v>1005</v>
      </c>
      <c r="C2037" s="1115"/>
      <c r="D2037" s="1483" t="s">
        <v>274</v>
      </c>
      <c r="E2037" s="1489">
        <v>1.2</v>
      </c>
      <c r="F2037" s="1132">
        <f>Bahan!E297</f>
        <v>240215</v>
      </c>
      <c r="G2037" s="1490">
        <f>F2037*E2037</f>
        <v>288258</v>
      </c>
    </row>
    <row r="2038" spans="1:7" s="111" customFormat="1">
      <c r="A2038" s="1491"/>
      <c r="B2038" s="1121" t="s">
        <v>1006</v>
      </c>
      <c r="C2038" s="1121"/>
      <c r="D2038" s="1485" t="s">
        <v>91</v>
      </c>
      <c r="E2038" s="1492">
        <v>0.35</v>
      </c>
      <c r="F2038" s="1493"/>
      <c r="G2038" s="1494">
        <f>F2037*35%</f>
        <v>84075.25</v>
      </c>
    </row>
    <row r="2039" spans="1:7" s="111" customFormat="1">
      <c r="A2039" s="1486"/>
      <c r="B2039" s="1487"/>
      <c r="C2039" s="1487"/>
      <c r="D2039" s="1487"/>
      <c r="E2039" s="1819" t="s">
        <v>79</v>
      </c>
      <c r="F2039" s="1821"/>
      <c r="G2039" s="1125">
        <f>SUM(G2037:G2038)</f>
        <v>372333.25</v>
      </c>
    </row>
    <row r="2040" spans="1:7" s="111" customFormat="1">
      <c r="A2040" s="1479" t="s">
        <v>264</v>
      </c>
      <c r="B2040" s="1480" t="s">
        <v>81</v>
      </c>
      <c r="C2040" s="1481"/>
      <c r="D2040" s="1481"/>
      <c r="E2040" s="1481"/>
      <c r="F2040" s="1481"/>
      <c r="G2040" s="1129"/>
    </row>
    <row r="2041" spans="1:7" s="111" customFormat="1">
      <c r="A2041" s="1482"/>
      <c r="B2041" s="1115"/>
      <c r="C2041" s="1115"/>
      <c r="D2041" s="1115"/>
      <c r="E2041" s="1115"/>
      <c r="F2041" s="1115"/>
      <c r="G2041" s="1116"/>
    </row>
    <row r="2042" spans="1:7" s="111" customFormat="1">
      <c r="A2042" s="1484"/>
      <c r="B2042" s="1121"/>
      <c r="C2042" s="1121"/>
      <c r="D2042" s="1121"/>
      <c r="E2042" s="1876" t="s">
        <v>82</v>
      </c>
      <c r="F2042" s="1877"/>
      <c r="G2042" s="1122">
        <v>0</v>
      </c>
    </row>
    <row r="2043" spans="1:7" s="111" customFormat="1">
      <c r="A2043" s="1495" t="s">
        <v>281</v>
      </c>
      <c r="B2043" s="1878" t="s">
        <v>282</v>
      </c>
      <c r="C2043" s="1878"/>
      <c r="D2043" s="1878"/>
      <c r="E2043" s="1878"/>
      <c r="F2043" s="1878"/>
      <c r="G2043" s="1140">
        <f>G2042+G2039+G2035</f>
        <v>426023.25</v>
      </c>
    </row>
    <row r="2044" spans="1:7" s="111" customFormat="1">
      <c r="A2044" s="1496" t="s">
        <v>90</v>
      </c>
      <c r="B2044" s="1825" t="s">
        <v>619</v>
      </c>
      <c r="C2044" s="1826"/>
      <c r="D2044" s="1826"/>
      <c r="E2044" s="970">
        <f>$I$2</f>
        <v>0.1</v>
      </c>
      <c r="F2044" s="967"/>
      <c r="G2044" s="968">
        <f>+G2043*E2044</f>
        <v>42602.325000000004</v>
      </c>
    </row>
    <row r="2045" spans="1:7" s="111" customFormat="1">
      <c r="A2045" s="1497" t="s">
        <v>94</v>
      </c>
      <c r="B2045" s="1879" t="s">
        <v>86</v>
      </c>
      <c r="C2045" s="1879"/>
      <c r="D2045" s="1879"/>
      <c r="E2045" s="1879"/>
      <c r="F2045" s="1879"/>
      <c r="G2045" s="1498">
        <f>G2043+G2044</f>
        <v>468625.57500000001</v>
      </c>
    </row>
    <row r="2046" spans="1:7" s="111" customFormat="1">
      <c r="A2046" s="10"/>
      <c r="B2046" s="10"/>
      <c r="C2046" s="10"/>
      <c r="D2046" s="10"/>
      <c r="E2046" s="10"/>
      <c r="F2046" s="10"/>
      <c r="G2046" s="10"/>
    </row>
    <row r="2047" spans="1:7" s="111" customFormat="1">
      <c r="A2047" s="10"/>
      <c r="B2047" s="10"/>
      <c r="C2047" s="10"/>
      <c r="D2047" s="10"/>
      <c r="E2047" s="10"/>
      <c r="F2047" s="10"/>
      <c r="G2047" s="10"/>
    </row>
    <row r="2048" spans="1:7" s="111" customFormat="1">
      <c r="A2048" s="10"/>
      <c r="B2048" s="10"/>
      <c r="C2048" s="10"/>
      <c r="D2048" s="10"/>
      <c r="E2048" s="10"/>
      <c r="F2048" s="10"/>
      <c r="G2048" s="10"/>
    </row>
    <row r="2049" spans="1:7" s="111" customFormat="1">
      <c r="A2049" s="10"/>
      <c r="B2049" s="10"/>
      <c r="C2049" s="10"/>
      <c r="D2049" s="10"/>
      <c r="E2049" s="10"/>
      <c r="F2049" s="10"/>
      <c r="G2049" s="10"/>
    </row>
    <row r="2050" spans="1:7" s="111" customFormat="1">
      <c r="A2050" s="10"/>
      <c r="B2050" s="10"/>
      <c r="C2050" s="10"/>
      <c r="D2050" s="10"/>
      <c r="E2050" s="10"/>
      <c r="F2050" s="10"/>
      <c r="G2050" s="10"/>
    </row>
    <row r="2051" spans="1:7" s="111" customFormat="1">
      <c r="A2051" s="10"/>
      <c r="B2051" s="10"/>
      <c r="C2051" s="10"/>
      <c r="D2051" s="10"/>
      <c r="E2051" s="10"/>
      <c r="F2051" s="10"/>
      <c r="G2051" s="10"/>
    </row>
    <row r="2052" spans="1:7" s="111" customFormat="1">
      <c r="A2052" s="10"/>
      <c r="B2052" s="10"/>
      <c r="C2052" s="10"/>
      <c r="D2052" s="10"/>
      <c r="E2052" s="10"/>
      <c r="F2052" s="10"/>
      <c r="G2052" s="10"/>
    </row>
    <row r="2053" spans="1:7" s="111" customFormat="1">
      <c r="A2053" s="10"/>
      <c r="B2053" s="10"/>
      <c r="C2053" s="10"/>
      <c r="D2053" s="10"/>
      <c r="E2053" s="10"/>
      <c r="F2053" s="10"/>
      <c r="G2053" s="10"/>
    </row>
    <row r="2054" spans="1:7" s="111" customFormat="1">
      <c r="A2054" s="10"/>
      <c r="B2054" s="10"/>
      <c r="C2054" s="10"/>
      <c r="D2054" s="10"/>
      <c r="E2054" s="10"/>
      <c r="F2054" s="10"/>
      <c r="G2054" s="10"/>
    </row>
    <row r="2055" spans="1:7" s="111" customFormat="1">
      <c r="A2055" s="10"/>
      <c r="B2055" s="10"/>
      <c r="C2055" s="10"/>
      <c r="D2055" s="10"/>
      <c r="E2055" s="10"/>
      <c r="F2055" s="10"/>
      <c r="G2055" s="10"/>
    </row>
    <row r="2056" spans="1:7" s="111" customFormat="1">
      <c r="A2056" s="10"/>
      <c r="B2056" s="10"/>
      <c r="C2056" s="10"/>
      <c r="D2056" s="10"/>
      <c r="E2056" s="10"/>
      <c r="F2056" s="10"/>
      <c r="G2056" s="10"/>
    </row>
    <row r="2057" spans="1:7" s="111" customFormat="1" ht="12.75" customHeight="1" thickBot="1">
      <c r="A2057" s="10" t="s">
        <v>1018</v>
      </c>
      <c r="B2057" s="10"/>
      <c r="C2057" s="10"/>
      <c r="D2057" s="10"/>
      <c r="E2057" s="10"/>
      <c r="F2057" s="10"/>
      <c r="G2057" s="10"/>
    </row>
    <row r="2058" spans="1:7" s="111" customFormat="1" ht="12.75" customHeight="1" thickTop="1">
      <c r="A2058" s="1797" t="s">
        <v>275</v>
      </c>
      <c r="B2058" s="1799" t="s">
        <v>295</v>
      </c>
      <c r="C2058" s="1799" t="s">
        <v>276</v>
      </c>
      <c r="D2058" s="1799" t="s">
        <v>277</v>
      </c>
      <c r="E2058" s="1801" t="s">
        <v>278</v>
      </c>
      <c r="F2058" s="916" t="s">
        <v>279</v>
      </c>
      <c r="G2058" s="916" t="s">
        <v>280</v>
      </c>
    </row>
    <row r="2059" spans="1:7" s="111" customFormat="1" ht="12.75" customHeight="1">
      <c r="A2059" s="1798"/>
      <c r="B2059" s="1800"/>
      <c r="C2059" s="1800"/>
      <c r="D2059" s="1800"/>
      <c r="E2059" s="1802"/>
      <c r="F2059" s="917" t="s">
        <v>67</v>
      </c>
      <c r="G2059" s="917" t="s">
        <v>67</v>
      </c>
    </row>
    <row r="2060" spans="1:7" s="111" customFormat="1" ht="12.75" customHeight="1">
      <c r="A2060" s="1479" t="s">
        <v>262</v>
      </c>
      <c r="B2060" s="1480" t="s">
        <v>718</v>
      </c>
      <c r="C2060" s="1481"/>
      <c r="D2060" s="1481"/>
      <c r="E2060" s="1481"/>
      <c r="F2060" s="1481"/>
      <c r="G2060" s="1129"/>
    </row>
    <row r="2061" spans="1:7" s="111" customFormat="1" ht="12.75" customHeight="1">
      <c r="A2061" s="1482"/>
      <c r="B2061" s="1115" t="s">
        <v>69</v>
      </c>
      <c r="C2061" s="1483" t="s">
        <v>70</v>
      </c>
      <c r="D2061" s="1483" t="s">
        <v>71</v>
      </c>
      <c r="E2061" s="1114">
        <v>0.13500000000000001</v>
      </c>
      <c r="F2061" s="1115">
        <f>F2031</f>
        <v>130000</v>
      </c>
      <c r="G2061" s="1116">
        <f>F2061*E2061</f>
        <v>17550</v>
      </c>
    </row>
    <row r="2062" spans="1:7" s="111" customFormat="1" ht="12.75" customHeight="1">
      <c r="A2062" s="1482"/>
      <c r="B2062" s="1115" t="s">
        <v>742</v>
      </c>
      <c r="C2062" s="1483" t="s">
        <v>72</v>
      </c>
      <c r="D2062" s="1483" t="s">
        <v>71</v>
      </c>
      <c r="E2062" s="1114">
        <v>0.22500000000000001</v>
      </c>
      <c r="F2062" s="1115">
        <f>F2032</f>
        <v>140000</v>
      </c>
      <c r="G2062" s="1116">
        <f>F2062*E2062</f>
        <v>31500</v>
      </c>
    </row>
    <row r="2063" spans="1:7" s="111" customFormat="1" ht="12.75" customHeight="1">
      <c r="A2063" s="1482"/>
      <c r="B2063" s="1115" t="s">
        <v>720</v>
      </c>
      <c r="C2063" s="1483" t="s">
        <v>74</v>
      </c>
      <c r="D2063" s="1483" t="s">
        <v>71</v>
      </c>
      <c r="E2063" s="1114">
        <v>2.3E-2</v>
      </c>
      <c r="F2063" s="1115">
        <f>F2033</f>
        <v>150000</v>
      </c>
      <c r="G2063" s="1116">
        <f>F2063*E2063</f>
        <v>3450</v>
      </c>
    </row>
    <row r="2064" spans="1:7" s="111" customFormat="1" ht="12.75" customHeight="1">
      <c r="A2064" s="1484"/>
      <c r="B2064" s="1121" t="s">
        <v>50</v>
      </c>
      <c r="C2064" s="1485" t="s">
        <v>75</v>
      </c>
      <c r="D2064" s="1485" t="s">
        <v>71</v>
      </c>
      <c r="E2064" s="1120">
        <v>7.0000000000000001E-3</v>
      </c>
      <c r="F2064" s="1121">
        <f>F2034</f>
        <v>170000</v>
      </c>
      <c r="G2064" s="1122">
        <f>F2064*E2064</f>
        <v>1190</v>
      </c>
    </row>
    <row r="2065" spans="1:7" s="111" customFormat="1" ht="12.75" customHeight="1">
      <c r="A2065" s="1486"/>
      <c r="B2065" s="1487"/>
      <c r="C2065" s="1487"/>
      <c r="D2065" s="1487"/>
      <c r="E2065" s="1819" t="s">
        <v>76</v>
      </c>
      <c r="F2065" s="1820"/>
      <c r="G2065" s="1125">
        <f>SUM(G2061:G2064)</f>
        <v>53690</v>
      </c>
    </row>
    <row r="2066" spans="1:7" s="111" customFormat="1" ht="12.75" customHeight="1">
      <c r="A2066" s="1479" t="s">
        <v>263</v>
      </c>
      <c r="B2066" s="1480" t="s">
        <v>78</v>
      </c>
      <c r="C2066" s="1481"/>
      <c r="D2066" s="1481"/>
      <c r="E2066" s="1481"/>
      <c r="F2066" s="1481"/>
      <c r="G2066" s="1129"/>
    </row>
    <row r="2067" spans="1:7" s="111" customFormat="1" ht="12.75" customHeight="1">
      <c r="A2067" s="1488"/>
      <c r="B2067" s="1115" t="s">
        <v>1007</v>
      </c>
      <c r="C2067" s="1115"/>
      <c r="D2067" s="1483" t="s">
        <v>274</v>
      </c>
      <c r="E2067" s="1489">
        <v>1.2</v>
      </c>
      <c r="F2067" s="1132">
        <f>Bahan!E298</f>
        <v>342257.5</v>
      </c>
      <c r="G2067" s="1490">
        <f>F2067*E2067</f>
        <v>410709</v>
      </c>
    </row>
    <row r="2068" spans="1:7" s="111" customFormat="1" ht="12.75" customHeight="1">
      <c r="A2068" s="1491"/>
      <c r="B2068" s="1121" t="s">
        <v>1006</v>
      </c>
      <c r="C2068" s="1121"/>
      <c r="D2068" s="1485" t="s">
        <v>91</v>
      </c>
      <c r="E2068" s="1492">
        <v>0.35</v>
      </c>
      <c r="F2068" s="1493"/>
      <c r="G2068" s="1494">
        <f>F2067*35%</f>
        <v>119790.12499999999</v>
      </c>
    </row>
    <row r="2069" spans="1:7" s="111" customFormat="1" ht="12.75" customHeight="1">
      <c r="A2069" s="1486"/>
      <c r="B2069" s="1487"/>
      <c r="C2069" s="1487"/>
      <c r="D2069" s="1487"/>
      <c r="E2069" s="1819" t="s">
        <v>79</v>
      </c>
      <c r="F2069" s="1821"/>
      <c r="G2069" s="1125">
        <f>SUM(G2067:G2068)</f>
        <v>530499.125</v>
      </c>
    </row>
    <row r="2070" spans="1:7" s="111" customFormat="1" ht="12.75" customHeight="1">
      <c r="A2070" s="1479" t="s">
        <v>264</v>
      </c>
      <c r="B2070" s="1480" t="s">
        <v>81</v>
      </c>
      <c r="C2070" s="1481"/>
      <c r="D2070" s="1481"/>
      <c r="E2070" s="1481"/>
      <c r="F2070" s="1481"/>
      <c r="G2070" s="1129"/>
    </row>
    <row r="2071" spans="1:7" s="111" customFormat="1" ht="12.75" customHeight="1">
      <c r="A2071" s="1484"/>
      <c r="B2071" s="1121"/>
      <c r="C2071" s="1121"/>
      <c r="D2071" s="1121"/>
      <c r="E2071" s="1121"/>
      <c r="F2071" s="1121"/>
      <c r="G2071" s="1122"/>
    </row>
    <row r="2072" spans="1:7" s="111" customFormat="1" ht="12.75" customHeight="1">
      <c r="A2072" s="1486"/>
      <c r="B2072" s="1487"/>
      <c r="C2072" s="1487"/>
      <c r="D2072" s="1487"/>
      <c r="E2072" s="1819" t="s">
        <v>82</v>
      </c>
      <c r="F2072" s="1820"/>
      <c r="G2072" s="1138">
        <v>0</v>
      </c>
    </row>
    <row r="2073" spans="1:7" s="111" customFormat="1" ht="12.75" customHeight="1">
      <c r="A2073" s="1495" t="s">
        <v>281</v>
      </c>
      <c r="B2073" s="1822" t="s">
        <v>282</v>
      </c>
      <c r="C2073" s="1823"/>
      <c r="D2073" s="1823"/>
      <c r="E2073" s="1823"/>
      <c r="F2073" s="1824"/>
      <c r="G2073" s="1140">
        <f>G2072+G2069+G2065</f>
        <v>584189.125</v>
      </c>
    </row>
    <row r="2074" spans="1:7" s="111" customFormat="1" ht="12.75" customHeight="1">
      <c r="A2074" s="1496" t="s">
        <v>90</v>
      </c>
      <c r="B2074" s="1825" t="s">
        <v>619</v>
      </c>
      <c r="C2074" s="1826"/>
      <c r="D2074" s="1826"/>
      <c r="E2074" s="970">
        <f>$I$2</f>
        <v>0.1</v>
      </c>
      <c r="F2074" s="967"/>
      <c r="G2074" s="968">
        <f>+G2073*E2074</f>
        <v>58418.912500000006</v>
      </c>
    </row>
    <row r="2075" spans="1:7" s="111" customFormat="1" ht="12.75" customHeight="1">
      <c r="A2075" s="1497" t="s">
        <v>94</v>
      </c>
      <c r="B2075" s="1827" t="s">
        <v>86</v>
      </c>
      <c r="C2075" s="1828"/>
      <c r="D2075" s="1828"/>
      <c r="E2075" s="1828"/>
      <c r="F2075" s="1829"/>
      <c r="G2075" s="1498">
        <f>G2073+G2074</f>
        <v>642608.03749999998</v>
      </c>
    </row>
    <row r="2076" spans="1:7" s="111" customFormat="1" ht="12.75" customHeight="1">
      <c r="A2076" s="10"/>
      <c r="B2076" s="10"/>
      <c r="C2076" s="10"/>
      <c r="D2076" s="10"/>
      <c r="E2076" s="10"/>
      <c r="F2076" s="10"/>
      <c r="G2076" s="10"/>
    </row>
    <row r="2077" spans="1:7" ht="12.75" customHeight="1" thickBot="1">
      <c r="A2077" s="10" t="s">
        <v>528</v>
      </c>
      <c r="B2077" s="980"/>
    </row>
    <row r="2078" spans="1:7" ht="12.75" customHeight="1" thickTop="1">
      <c r="A2078" s="1797" t="s">
        <v>275</v>
      </c>
      <c r="B2078" s="1799" t="s">
        <v>295</v>
      </c>
      <c r="C2078" s="1799" t="s">
        <v>276</v>
      </c>
      <c r="D2078" s="1799" t="s">
        <v>277</v>
      </c>
      <c r="E2078" s="1801" t="s">
        <v>278</v>
      </c>
      <c r="F2078" s="916" t="s">
        <v>279</v>
      </c>
      <c r="G2078" s="916" t="s">
        <v>280</v>
      </c>
    </row>
    <row r="2079" spans="1:7" ht="12.75" customHeight="1">
      <c r="A2079" s="1798"/>
      <c r="B2079" s="1800"/>
      <c r="C2079" s="1800"/>
      <c r="D2079" s="1800"/>
      <c r="E2079" s="1802"/>
      <c r="F2079" s="917" t="s">
        <v>67</v>
      </c>
      <c r="G2079" s="917" t="s">
        <v>67</v>
      </c>
    </row>
    <row r="2080" spans="1:7" ht="12.75" customHeight="1">
      <c r="A2080" s="1499" t="s">
        <v>68</v>
      </c>
      <c r="B2080" s="945" t="s">
        <v>298</v>
      </c>
      <c r="C2080" s="946"/>
      <c r="D2080" s="946"/>
      <c r="E2080" s="983"/>
      <c r="F2080" s="1500"/>
      <c r="G2080" s="1500"/>
    </row>
    <row r="2081" spans="1:7" ht="12.75" customHeight="1">
      <c r="A2081" s="1043"/>
      <c r="B2081" s="1501" t="s">
        <v>61</v>
      </c>
      <c r="C2081" s="1502" t="s">
        <v>70</v>
      </c>
      <c r="D2081" s="1502" t="s">
        <v>71</v>
      </c>
      <c r="E2081" s="1503">
        <v>2.35</v>
      </c>
      <c r="F2081" s="1504">
        <f>Upah!F26</f>
        <v>130000</v>
      </c>
      <c r="G2081" s="1504">
        <f>E2081*F2081</f>
        <v>305500</v>
      </c>
    </row>
    <row r="2082" spans="1:7" ht="12.75" customHeight="1">
      <c r="A2082" s="1043"/>
      <c r="B2082" s="1501" t="s">
        <v>60</v>
      </c>
      <c r="C2082" s="1502" t="s">
        <v>72</v>
      </c>
      <c r="D2082" s="1502" t="s">
        <v>71</v>
      </c>
      <c r="E2082" s="1503">
        <v>2.5</v>
      </c>
      <c r="F2082" s="1504">
        <f>Upah!F22</f>
        <v>140000</v>
      </c>
      <c r="G2082" s="1504">
        <f>E2082*F2082</f>
        <v>350000</v>
      </c>
    </row>
    <row r="2083" spans="1:7" ht="12.75" customHeight="1">
      <c r="A2083" s="1043"/>
      <c r="B2083" s="1501" t="s">
        <v>53</v>
      </c>
      <c r="C2083" s="1502" t="s">
        <v>74</v>
      </c>
      <c r="D2083" s="1502" t="s">
        <v>71</v>
      </c>
      <c r="E2083" s="1503">
        <v>0.35</v>
      </c>
      <c r="F2083" s="1504">
        <f>Upah!F11</f>
        <v>180000</v>
      </c>
      <c r="G2083" s="1504">
        <f>E2083*F2083</f>
        <v>62999.999999999993</v>
      </c>
    </row>
    <row r="2084" spans="1:7" ht="12.75" customHeight="1">
      <c r="A2084" s="1043"/>
      <c r="B2084" s="1505" t="s">
        <v>55</v>
      </c>
      <c r="C2084" s="1506" t="s">
        <v>75</v>
      </c>
      <c r="D2084" s="1506" t="s">
        <v>71</v>
      </c>
      <c r="E2084" s="1507">
        <v>0.15</v>
      </c>
      <c r="F2084" s="1508">
        <f>Upah!F9</f>
        <v>200000</v>
      </c>
      <c r="G2084" s="1508">
        <f>E2084*F2084</f>
        <v>30000</v>
      </c>
    </row>
    <row r="2085" spans="1:7" ht="12.75" customHeight="1">
      <c r="A2085" s="918"/>
      <c r="B2085" s="930"/>
      <c r="C2085" s="931" t="s">
        <v>632</v>
      </c>
      <c r="D2085" s="932"/>
      <c r="E2085" s="933"/>
      <c r="F2085" s="934"/>
      <c r="G2085" s="935">
        <f>SUM(G2081:G2084)</f>
        <v>748500</v>
      </c>
    </row>
    <row r="2086" spans="1:7" ht="12.75" customHeight="1">
      <c r="A2086" s="918" t="s">
        <v>77</v>
      </c>
      <c r="B2086" s="945" t="s">
        <v>299</v>
      </c>
      <c r="C2086" s="946"/>
      <c r="D2086" s="946"/>
      <c r="E2086" s="947"/>
      <c r="F2086" s="948"/>
      <c r="G2086" s="948"/>
    </row>
    <row r="2087" spans="1:7" ht="12.75" customHeight="1">
      <c r="A2087" s="1170"/>
      <c r="B2087" s="1167" t="s">
        <v>1074</v>
      </c>
      <c r="C2087" s="1168"/>
      <c r="D2087" s="1168" t="s">
        <v>291</v>
      </c>
      <c r="E2087" s="1169">
        <v>18.332999999999998</v>
      </c>
      <c r="F2087" s="1160">
        <f>Bahan!E97</f>
        <v>16700</v>
      </c>
      <c r="G2087" s="1160">
        <f t="shared" ref="G2087:G2088" si="182">+F2087*E2087</f>
        <v>306161.09999999998</v>
      </c>
    </row>
    <row r="2088" spans="1:7" ht="12.75" customHeight="1">
      <c r="A2088" s="1352"/>
      <c r="B2088" s="1353" t="s">
        <v>87</v>
      </c>
      <c r="C2088" s="1354"/>
      <c r="D2088" s="1354" t="s">
        <v>268</v>
      </c>
      <c r="E2088" s="1355">
        <v>4.2</v>
      </c>
      <c r="F2088" s="926">
        <f>Bahan!$E$286</f>
        <v>1450</v>
      </c>
      <c r="G2088" s="926">
        <f t="shared" si="182"/>
        <v>6090</v>
      </c>
    </row>
    <row r="2089" spans="1:7" ht="12.75" customHeight="1">
      <c r="A2089" s="918"/>
      <c r="B2089" s="930"/>
      <c r="C2089" s="940" t="s">
        <v>642</v>
      </c>
      <c r="D2089" s="941"/>
      <c r="E2089" s="942"/>
      <c r="F2089" s="943"/>
      <c r="G2089" s="944">
        <f>SUM(G2087:G2088)</f>
        <v>312251.09999999998</v>
      </c>
    </row>
    <row r="2090" spans="1:7" ht="12.75" customHeight="1">
      <c r="A2090" s="918" t="s">
        <v>80</v>
      </c>
      <c r="B2090" s="919" t="s">
        <v>250</v>
      </c>
      <c r="C2090" s="937"/>
      <c r="D2090" s="946"/>
      <c r="E2090" s="947"/>
      <c r="F2090" s="948"/>
      <c r="G2090" s="926">
        <v>0</v>
      </c>
    </row>
    <row r="2091" spans="1:7" ht="12.75" customHeight="1">
      <c r="A2091" s="960"/>
      <c r="B2091" s="961"/>
      <c r="C2091" s="962" t="s">
        <v>287</v>
      </c>
      <c r="D2091" s="941"/>
      <c r="E2091" s="942"/>
      <c r="F2091" s="943"/>
      <c r="G2091" s="944">
        <v>0</v>
      </c>
    </row>
    <row r="2092" spans="1:7" ht="12.75" customHeight="1">
      <c r="A2092" s="963" t="s">
        <v>83</v>
      </c>
      <c r="B2092" s="964" t="s">
        <v>292</v>
      </c>
      <c r="C2092" s="965"/>
      <c r="D2092" s="915"/>
      <c r="E2092" s="966"/>
      <c r="F2092" s="967"/>
      <c r="G2092" s="968">
        <f>+G2091+G2089+G2085</f>
        <v>1060751.1000000001</v>
      </c>
    </row>
    <row r="2093" spans="1:7" ht="12.75" customHeight="1">
      <c r="A2093" s="963" t="s">
        <v>84</v>
      </c>
      <c r="B2093" s="969" t="s">
        <v>293</v>
      </c>
      <c r="C2093" s="912"/>
      <c r="D2093" s="915"/>
      <c r="E2093" s="970">
        <f>$I$2</f>
        <v>0.1</v>
      </c>
      <c r="F2093" s="967"/>
      <c r="G2093" s="968">
        <f>+G2092*E2093</f>
        <v>106075.11000000002</v>
      </c>
    </row>
    <row r="2094" spans="1:7" ht="12.75" customHeight="1" thickBot="1">
      <c r="A2094" s="971" t="s">
        <v>85</v>
      </c>
      <c r="B2094" s="972" t="s">
        <v>86</v>
      </c>
      <c r="C2094" s="973"/>
      <c r="D2094" s="973"/>
      <c r="E2094" s="974"/>
      <c r="F2094" s="975"/>
      <c r="G2094" s="976">
        <f>+G2093+G2092</f>
        <v>1166826.2100000002</v>
      </c>
    </row>
    <row r="2095" spans="1:7" ht="12.75" customHeight="1" thickTop="1"/>
    <row r="2096" spans="1:7" ht="12.75" customHeight="1" thickBot="1">
      <c r="A2096" s="10" t="s">
        <v>694</v>
      </c>
      <c r="B2096" s="980"/>
    </row>
    <row r="2097" spans="1:7" ht="12.75" customHeight="1" thickTop="1">
      <c r="A2097" s="1797" t="s">
        <v>275</v>
      </c>
      <c r="B2097" s="1799" t="s">
        <v>295</v>
      </c>
      <c r="C2097" s="1799" t="s">
        <v>276</v>
      </c>
      <c r="D2097" s="1799" t="s">
        <v>277</v>
      </c>
      <c r="E2097" s="1801" t="s">
        <v>278</v>
      </c>
      <c r="F2097" s="916" t="s">
        <v>279</v>
      </c>
      <c r="G2097" s="916" t="s">
        <v>280</v>
      </c>
    </row>
    <row r="2098" spans="1:7" ht="12.75" customHeight="1">
      <c r="A2098" s="1798"/>
      <c r="B2098" s="1800"/>
      <c r="C2098" s="1800"/>
      <c r="D2098" s="1800"/>
      <c r="E2098" s="1802"/>
      <c r="F2098" s="917" t="s">
        <v>67</v>
      </c>
      <c r="G2098" s="917" t="s">
        <v>67</v>
      </c>
    </row>
    <row r="2099" spans="1:7" ht="12.75" customHeight="1">
      <c r="A2099" s="1499" t="s">
        <v>68</v>
      </c>
      <c r="B2099" s="945" t="s">
        <v>298</v>
      </c>
      <c r="C2099" s="946"/>
      <c r="D2099" s="946"/>
      <c r="E2099" s="983"/>
      <c r="F2099" s="1500"/>
      <c r="G2099" s="1500"/>
    </row>
    <row r="2100" spans="1:7" ht="12.75" customHeight="1">
      <c r="A2100" s="1043"/>
      <c r="B2100" s="1501" t="s">
        <v>61</v>
      </c>
      <c r="C2100" s="1502" t="s">
        <v>70</v>
      </c>
      <c r="D2100" s="1502" t="s">
        <v>71</v>
      </c>
      <c r="E2100" s="1503">
        <v>2.35</v>
      </c>
      <c r="F2100" s="1504">
        <f>F2081</f>
        <v>130000</v>
      </c>
      <c r="G2100" s="1504">
        <f>E2100*F2100</f>
        <v>305500</v>
      </c>
    </row>
    <row r="2101" spans="1:7" ht="12.75" customHeight="1">
      <c r="A2101" s="1043"/>
      <c r="B2101" s="1501" t="s">
        <v>60</v>
      </c>
      <c r="C2101" s="1502" t="s">
        <v>72</v>
      </c>
      <c r="D2101" s="1502" t="s">
        <v>71</v>
      </c>
      <c r="E2101" s="1503">
        <v>2.5</v>
      </c>
      <c r="F2101" s="1504">
        <f t="shared" ref="F2101:F2103" si="183">F2082</f>
        <v>140000</v>
      </c>
      <c r="G2101" s="1504">
        <f>E2101*F2101</f>
        <v>350000</v>
      </c>
    </row>
    <row r="2102" spans="1:7" ht="12.75" customHeight="1">
      <c r="A2102" s="1043"/>
      <c r="B2102" s="1501" t="s">
        <v>53</v>
      </c>
      <c r="C2102" s="1502" t="s">
        <v>74</v>
      </c>
      <c r="D2102" s="1502" t="s">
        <v>71</v>
      </c>
      <c r="E2102" s="1503">
        <v>0.35</v>
      </c>
      <c r="F2102" s="1504">
        <f t="shared" si="183"/>
        <v>180000</v>
      </c>
      <c r="G2102" s="1504">
        <f>E2102*F2102</f>
        <v>62999.999999999993</v>
      </c>
    </row>
    <row r="2103" spans="1:7" ht="12.75" customHeight="1">
      <c r="A2103" s="1043"/>
      <c r="B2103" s="1505" t="s">
        <v>55</v>
      </c>
      <c r="C2103" s="1506" t="s">
        <v>75</v>
      </c>
      <c r="D2103" s="1506" t="s">
        <v>71</v>
      </c>
      <c r="E2103" s="1507">
        <v>0.15</v>
      </c>
      <c r="F2103" s="1509">
        <f t="shared" si="183"/>
        <v>200000</v>
      </c>
      <c r="G2103" s="1508">
        <f>E2103*F2103</f>
        <v>30000</v>
      </c>
    </row>
    <row r="2104" spans="1:7" ht="12.75" customHeight="1">
      <c r="A2104" s="918"/>
      <c r="B2104" s="930"/>
      <c r="C2104" s="931" t="s">
        <v>632</v>
      </c>
      <c r="D2104" s="932"/>
      <c r="E2104" s="933"/>
      <c r="F2104" s="934"/>
      <c r="G2104" s="935">
        <f>SUM(G2100:G2103)</f>
        <v>748500</v>
      </c>
    </row>
    <row r="2105" spans="1:7" ht="12.75" customHeight="1">
      <c r="A2105" s="918" t="s">
        <v>77</v>
      </c>
      <c r="B2105" s="945" t="s">
        <v>299</v>
      </c>
      <c r="C2105" s="946"/>
      <c r="D2105" s="946"/>
      <c r="E2105" s="947"/>
      <c r="F2105" s="948"/>
      <c r="G2105" s="948"/>
    </row>
    <row r="2106" spans="1:7" ht="12.75" customHeight="1">
      <c r="A2106" s="1170"/>
      <c r="B2106" s="1167" t="s">
        <v>695</v>
      </c>
      <c r="C2106" s="1168"/>
      <c r="D2106" s="1168" t="s">
        <v>291</v>
      </c>
      <c r="E2106" s="1169">
        <v>110</v>
      </c>
      <c r="F2106" s="1160">
        <f>Bahan!E95</f>
        <v>4000</v>
      </c>
      <c r="G2106" s="1160">
        <f t="shared" ref="G2106:G2107" si="184">+F2106*E2106</f>
        <v>440000</v>
      </c>
    </row>
    <row r="2107" spans="1:7" ht="12.75" customHeight="1">
      <c r="A2107" s="1352"/>
      <c r="B2107" s="1353" t="s">
        <v>87</v>
      </c>
      <c r="C2107" s="1354"/>
      <c r="D2107" s="1354" t="s">
        <v>268</v>
      </c>
      <c r="E2107" s="1355">
        <v>4.2</v>
      </c>
      <c r="F2107" s="926">
        <f>Bahan!$E$286</f>
        <v>1450</v>
      </c>
      <c r="G2107" s="926">
        <f t="shared" si="184"/>
        <v>6090</v>
      </c>
    </row>
    <row r="2108" spans="1:7" ht="12.75" customHeight="1">
      <c r="A2108" s="918"/>
      <c r="B2108" s="930"/>
      <c r="C2108" s="940" t="s">
        <v>642</v>
      </c>
      <c r="D2108" s="941"/>
      <c r="E2108" s="942"/>
      <c r="F2108" s="943"/>
      <c r="G2108" s="944">
        <f>SUM(G2106:G2107)</f>
        <v>446090</v>
      </c>
    </row>
    <row r="2109" spans="1:7" ht="12.75" customHeight="1">
      <c r="A2109" s="918" t="s">
        <v>80</v>
      </c>
      <c r="B2109" s="919" t="s">
        <v>250</v>
      </c>
      <c r="C2109" s="937"/>
      <c r="D2109" s="946"/>
      <c r="E2109" s="947"/>
      <c r="F2109" s="948"/>
      <c r="G2109" s="926">
        <v>0</v>
      </c>
    </row>
    <row r="2110" spans="1:7" ht="12.75" customHeight="1">
      <c r="A2110" s="960"/>
      <c r="B2110" s="961"/>
      <c r="C2110" s="962" t="s">
        <v>287</v>
      </c>
      <c r="D2110" s="941"/>
      <c r="E2110" s="942"/>
      <c r="F2110" s="943"/>
      <c r="G2110" s="944">
        <v>0</v>
      </c>
    </row>
    <row r="2111" spans="1:7" ht="12.75" customHeight="1">
      <c r="A2111" s="963" t="s">
        <v>83</v>
      </c>
      <c r="B2111" s="964" t="s">
        <v>292</v>
      </c>
      <c r="C2111" s="965"/>
      <c r="D2111" s="915"/>
      <c r="E2111" s="966"/>
      <c r="F2111" s="967"/>
      <c r="G2111" s="968">
        <f>+G2110+G2108+G2104</f>
        <v>1194590</v>
      </c>
    </row>
    <row r="2112" spans="1:7" ht="12.75" customHeight="1">
      <c r="A2112" s="963" t="s">
        <v>84</v>
      </c>
      <c r="B2112" s="969" t="s">
        <v>293</v>
      </c>
      <c r="C2112" s="912"/>
      <c r="D2112" s="915"/>
      <c r="E2112" s="970">
        <f>$I$2</f>
        <v>0.1</v>
      </c>
      <c r="F2112" s="967"/>
      <c r="G2112" s="968">
        <f>+G2111*E2112</f>
        <v>119459</v>
      </c>
    </row>
    <row r="2113" spans="1:7" ht="12.75" customHeight="1" thickBot="1">
      <c r="A2113" s="971" t="s">
        <v>85</v>
      </c>
      <c r="B2113" s="972" t="s">
        <v>86</v>
      </c>
      <c r="C2113" s="973"/>
      <c r="D2113" s="973"/>
      <c r="E2113" s="974"/>
      <c r="F2113" s="975"/>
      <c r="G2113" s="976">
        <f>+G2112+G2111</f>
        <v>1314049</v>
      </c>
    </row>
    <row r="2114" spans="1:7" ht="12.75" customHeight="1" thickTop="1"/>
    <row r="2115" spans="1:7" ht="12.75" customHeight="1" thickBot="1">
      <c r="A2115" s="10" t="s">
        <v>529</v>
      </c>
      <c r="B2115" s="980"/>
    </row>
    <row r="2116" spans="1:7" ht="12.75" customHeight="1" thickTop="1">
      <c r="A2116" s="1797" t="s">
        <v>275</v>
      </c>
      <c r="B2116" s="1799" t="s">
        <v>295</v>
      </c>
      <c r="C2116" s="1799" t="s">
        <v>276</v>
      </c>
      <c r="D2116" s="1799" t="s">
        <v>277</v>
      </c>
      <c r="E2116" s="1801" t="s">
        <v>278</v>
      </c>
      <c r="F2116" s="916" t="s">
        <v>279</v>
      </c>
      <c r="G2116" s="916" t="s">
        <v>280</v>
      </c>
    </row>
    <row r="2117" spans="1:7" ht="12.75" customHeight="1">
      <c r="A2117" s="1798"/>
      <c r="B2117" s="1800"/>
      <c r="C2117" s="1800"/>
      <c r="D2117" s="1800"/>
      <c r="E2117" s="1802"/>
      <c r="F2117" s="917" t="s">
        <v>67</v>
      </c>
      <c r="G2117" s="917" t="s">
        <v>67</v>
      </c>
    </row>
    <row r="2118" spans="1:7" ht="12.75" customHeight="1">
      <c r="A2118" s="1499" t="s">
        <v>68</v>
      </c>
      <c r="B2118" s="945" t="s">
        <v>298</v>
      </c>
      <c r="C2118" s="946"/>
      <c r="D2118" s="946"/>
      <c r="E2118" s="983"/>
      <c r="F2118" s="1500"/>
      <c r="G2118" s="1500"/>
    </row>
    <row r="2119" spans="1:7" ht="12.75" customHeight="1">
      <c r="A2119" s="1043"/>
      <c r="B2119" s="1501" t="s">
        <v>69</v>
      </c>
      <c r="C2119" s="1502" t="s">
        <v>70</v>
      </c>
      <c r="D2119" s="1502" t="s">
        <v>71</v>
      </c>
      <c r="E2119" s="1510">
        <v>7.0000000000000007E-2</v>
      </c>
      <c r="F2119" s="1504">
        <f>Upah!F26</f>
        <v>130000</v>
      </c>
      <c r="G2119" s="1160">
        <f t="shared" ref="G2119:G2122" si="185">+F2119*E2119</f>
        <v>9100</v>
      </c>
    </row>
    <row r="2120" spans="1:7" ht="12.75" customHeight="1">
      <c r="A2120" s="1043"/>
      <c r="B2120" s="1501" t="s">
        <v>59</v>
      </c>
      <c r="C2120" s="1502" t="s">
        <v>72</v>
      </c>
      <c r="D2120" s="1502" t="s">
        <v>71</v>
      </c>
      <c r="E2120" s="1511">
        <v>8.9999999999999993E-3</v>
      </c>
      <c r="F2120" s="1504">
        <f>Upah!F20</f>
        <v>140000</v>
      </c>
      <c r="G2120" s="1160">
        <f t="shared" si="185"/>
        <v>1260</v>
      </c>
    </row>
    <row r="2121" spans="1:7" ht="12.75" customHeight="1">
      <c r="A2121" s="1043"/>
      <c r="B2121" s="1501" t="s">
        <v>73</v>
      </c>
      <c r="C2121" s="1502" t="s">
        <v>74</v>
      </c>
      <c r="D2121" s="1502" t="s">
        <v>71</v>
      </c>
      <c r="E2121" s="1511">
        <v>6.0000000000000001E-3</v>
      </c>
      <c r="F2121" s="1504">
        <f>Upah!F10</f>
        <v>150000</v>
      </c>
      <c r="G2121" s="1160">
        <f t="shared" si="185"/>
        <v>900</v>
      </c>
    </row>
    <row r="2122" spans="1:7" ht="12.75" customHeight="1">
      <c r="A2122" s="1043"/>
      <c r="B2122" s="1505" t="s">
        <v>50</v>
      </c>
      <c r="C2122" s="1506" t="s">
        <v>75</v>
      </c>
      <c r="D2122" s="1506" t="s">
        <v>71</v>
      </c>
      <c r="E2122" s="1512">
        <v>3.0000000000000001E-3</v>
      </c>
      <c r="F2122" s="1509">
        <f>Upah!F8</f>
        <v>170000</v>
      </c>
      <c r="G2122" s="1160">
        <f t="shared" si="185"/>
        <v>510</v>
      </c>
    </row>
    <row r="2123" spans="1:7" ht="12.75" customHeight="1">
      <c r="A2123" s="918"/>
      <c r="B2123" s="930"/>
      <c r="C2123" s="931" t="s">
        <v>632</v>
      </c>
      <c r="D2123" s="932"/>
      <c r="E2123" s="933"/>
      <c r="F2123" s="934"/>
      <c r="G2123" s="935">
        <f>SUM(G2119:G2122)</f>
        <v>11770</v>
      </c>
    </row>
    <row r="2124" spans="1:7" ht="12.75" customHeight="1">
      <c r="A2124" s="918" t="s">
        <v>77</v>
      </c>
      <c r="B2124" s="945" t="s">
        <v>299</v>
      </c>
      <c r="C2124" s="946"/>
      <c r="D2124" s="946"/>
      <c r="E2124" s="947"/>
      <c r="F2124" s="948"/>
      <c r="G2124" s="948"/>
    </row>
    <row r="2125" spans="1:7" ht="12.75" customHeight="1">
      <c r="A2125" s="1170"/>
      <c r="B2125" s="1167" t="s">
        <v>363</v>
      </c>
      <c r="C2125" s="1168"/>
      <c r="D2125" s="1168" t="s">
        <v>268</v>
      </c>
      <c r="E2125" s="1169">
        <v>0.1</v>
      </c>
      <c r="F2125" s="1160">
        <f>Bahan!E147</f>
        <v>48000</v>
      </c>
      <c r="G2125" s="1160">
        <f t="shared" ref="G2125:G2127" si="186">+F2125*E2125</f>
        <v>4800</v>
      </c>
    </row>
    <row r="2126" spans="1:7" s="47" customFormat="1" ht="12.75" customHeight="1">
      <c r="A2126" s="1043"/>
      <c r="B2126" s="1513" t="s">
        <v>530</v>
      </c>
      <c r="C2126" s="1514"/>
      <c r="D2126" s="1514" t="s">
        <v>268</v>
      </c>
      <c r="E2126" s="1515">
        <v>0.26</v>
      </c>
      <c r="F2126" s="1160">
        <f>Bahan!E172</f>
        <v>95000</v>
      </c>
      <c r="G2126" s="1160">
        <f t="shared" ref="G2126" si="187">+F2126*E2126</f>
        <v>24700</v>
      </c>
    </row>
    <row r="2127" spans="1:7" ht="12.75" customHeight="1">
      <c r="A2127" s="1352"/>
      <c r="B2127" s="1353" t="s">
        <v>23</v>
      </c>
      <c r="C2127" s="1354"/>
      <c r="D2127" s="1354" t="s">
        <v>268</v>
      </c>
      <c r="E2127" s="1355">
        <v>0.01</v>
      </c>
      <c r="F2127" s="926">
        <f>Bahan!E154</f>
        <v>10000</v>
      </c>
      <c r="G2127" s="926">
        <f t="shared" si="186"/>
        <v>100</v>
      </c>
    </row>
    <row r="2128" spans="1:7" ht="12.75" customHeight="1">
      <c r="A2128" s="918"/>
      <c r="B2128" s="930"/>
      <c r="C2128" s="940" t="s">
        <v>642</v>
      </c>
      <c r="D2128" s="941"/>
      <c r="E2128" s="942"/>
      <c r="F2128" s="943"/>
      <c r="G2128" s="944">
        <f>SUM(G2125:G2127)</f>
        <v>29600</v>
      </c>
    </row>
    <row r="2129" spans="1:7" ht="12.75" customHeight="1">
      <c r="A2129" s="918" t="s">
        <v>80</v>
      </c>
      <c r="B2129" s="919" t="s">
        <v>250</v>
      </c>
      <c r="C2129" s="937"/>
      <c r="D2129" s="946"/>
      <c r="E2129" s="947"/>
      <c r="F2129" s="948"/>
      <c r="G2129" s="926">
        <v>0</v>
      </c>
    </row>
    <row r="2130" spans="1:7" ht="12.75" customHeight="1">
      <c r="A2130" s="960"/>
      <c r="B2130" s="961"/>
      <c r="C2130" s="962" t="s">
        <v>287</v>
      </c>
      <c r="D2130" s="941"/>
      <c r="E2130" s="942"/>
      <c r="F2130" s="943"/>
      <c r="G2130" s="944">
        <v>0</v>
      </c>
    </row>
    <row r="2131" spans="1:7" ht="12.75" customHeight="1">
      <c r="A2131" s="963" t="s">
        <v>83</v>
      </c>
      <c r="B2131" s="964" t="s">
        <v>292</v>
      </c>
      <c r="C2131" s="965"/>
      <c r="D2131" s="915"/>
      <c r="E2131" s="966"/>
      <c r="F2131" s="967"/>
      <c r="G2131" s="968">
        <f>+G2130+G2128+G2123</f>
        <v>41370</v>
      </c>
    </row>
    <row r="2132" spans="1:7" ht="12.75" customHeight="1">
      <c r="A2132" s="963" t="s">
        <v>84</v>
      </c>
      <c r="B2132" s="969" t="s">
        <v>293</v>
      </c>
      <c r="C2132" s="912"/>
      <c r="D2132" s="915"/>
      <c r="E2132" s="970">
        <f>$I$2</f>
        <v>0.1</v>
      </c>
      <c r="F2132" s="967"/>
      <c r="G2132" s="968">
        <f>+G2131*E2132</f>
        <v>4137</v>
      </c>
    </row>
    <row r="2133" spans="1:7" ht="12.75" customHeight="1" thickBot="1">
      <c r="A2133" s="971" t="s">
        <v>85</v>
      </c>
      <c r="B2133" s="972" t="s">
        <v>86</v>
      </c>
      <c r="C2133" s="973"/>
      <c r="D2133" s="973"/>
      <c r="E2133" s="974"/>
      <c r="F2133" s="975"/>
      <c r="G2133" s="976">
        <f>+G2132+G2131</f>
        <v>45507</v>
      </c>
    </row>
    <row r="2134" spans="1:7" ht="13.5" customHeight="1" thickTop="1"/>
    <row r="2135" spans="1:7" s="413" customFormat="1" ht="13.5" customHeight="1" thickBot="1">
      <c r="A2135" s="10" t="s">
        <v>611</v>
      </c>
      <c r="B2135" s="10"/>
      <c r="C2135" s="10"/>
      <c r="D2135" s="10"/>
      <c r="E2135" s="1004"/>
      <c r="F2135" s="10"/>
      <c r="G2135" s="46"/>
    </row>
    <row r="2136" spans="1:7" s="413" customFormat="1" ht="13.5" customHeight="1" thickTop="1">
      <c r="A2136" s="1797" t="s">
        <v>275</v>
      </c>
      <c r="B2136" s="1799" t="s">
        <v>295</v>
      </c>
      <c r="C2136" s="1799" t="s">
        <v>276</v>
      </c>
      <c r="D2136" s="1799" t="s">
        <v>277</v>
      </c>
      <c r="E2136" s="1801" t="s">
        <v>278</v>
      </c>
      <c r="F2136" s="916" t="s">
        <v>279</v>
      </c>
      <c r="G2136" s="916" t="s">
        <v>280</v>
      </c>
    </row>
    <row r="2137" spans="1:7" s="413" customFormat="1" ht="13.5" customHeight="1">
      <c r="A2137" s="1798"/>
      <c r="B2137" s="1800"/>
      <c r="C2137" s="1800"/>
      <c r="D2137" s="1800"/>
      <c r="E2137" s="1802"/>
      <c r="F2137" s="917" t="s">
        <v>67</v>
      </c>
      <c r="G2137" s="917" t="s">
        <v>67</v>
      </c>
    </row>
    <row r="2138" spans="1:7" s="413" customFormat="1" ht="13.5" customHeight="1">
      <c r="A2138" s="1499" t="s">
        <v>68</v>
      </c>
      <c r="B2138" s="945" t="s">
        <v>298</v>
      </c>
      <c r="C2138" s="946"/>
      <c r="D2138" s="946"/>
      <c r="E2138" s="983"/>
      <c r="F2138" s="1500"/>
      <c r="G2138" s="1500"/>
    </row>
    <row r="2139" spans="1:7" s="413" customFormat="1" ht="13.5" customHeight="1">
      <c r="A2139" s="1043"/>
      <c r="B2139" s="1501" t="s">
        <v>69</v>
      </c>
      <c r="C2139" s="1502" t="s">
        <v>70</v>
      </c>
      <c r="D2139" s="1502" t="s">
        <v>71</v>
      </c>
      <c r="E2139" s="1503">
        <v>0.4</v>
      </c>
      <c r="F2139" s="1504">
        <f>F2031</f>
        <v>130000</v>
      </c>
      <c r="G2139" s="1504">
        <f>E2139*F2139</f>
        <v>52000</v>
      </c>
    </row>
    <row r="2140" spans="1:7" s="413" customFormat="1" ht="13.5" customHeight="1">
      <c r="A2140" s="1043"/>
      <c r="B2140" s="1501" t="s">
        <v>54</v>
      </c>
      <c r="C2140" s="1502" t="s">
        <v>72</v>
      </c>
      <c r="D2140" s="1502" t="s">
        <v>71</v>
      </c>
      <c r="E2140" s="1503">
        <v>0.2</v>
      </c>
      <c r="F2140" s="1504">
        <f t="shared" ref="F2140:F2142" si="188">F2032</f>
        <v>140000</v>
      </c>
      <c r="G2140" s="1504">
        <f>E2140*F2140</f>
        <v>28000</v>
      </c>
    </row>
    <row r="2141" spans="1:7" s="413" customFormat="1" ht="13.5" customHeight="1">
      <c r="A2141" s="1043"/>
      <c r="B2141" s="1501" t="s">
        <v>73</v>
      </c>
      <c r="C2141" s="1502" t="s">
        <v>74</v>
      </c>
      <c r="D2141" s="1502" t="s">
        <v>71</v>
      </c>
      <c r="E2141" s="1503">
        <v>0.02</v>
      </c>
      <c r="F2141" s="1504">
        <f t="shared" si="188"/>
        <v>150000</v>
      </c>
      <c r="G2141" s="1504">
        <f>E2141*F2141</f>
        <v>3000</v>
      </c>
    </row>
    <row r="2142" spans="1:7" s="413" customFormat="1" ht="13.5" customHeight="1">
      <c r="A2142" s="1043"/>
      <c r="B2142" s="1505" t="s">
        <v>50</v>
      </c>
      <c r="C2142" s="1506" t="s">
        <v>75</v>
      </c>
      <c r="D2142" s="1506" t="s">
        <v>71</v>
      </c>
      <c r="E2142" s="1507">
        <v>7.0000000000000001E-3</v>
      </c>
      <c r="F2142" s="1504">
        <f t="shared" si="188"/>
        <v>170000</v>
      </c>
      <c r="G2142" s="1508">
        <f>E2142*F2142</f>
        <v>1190</v>
      </c>
    </row>
    <row r="2143" spans="1:7" s="413" customFormat="1" ht="13.5" customHeight="1">
      <c r="A2143" s="918"/>
      <c r="B2143" s="930"/>
      <c r="C2143" s="931" t="s">
        <v>76</v>
      </c>
      <c r="D2143" s="932"/>
      <c r="E2143" s="933"/>
      <c r="F2143" s="934"/>
      <c r="G2143" s="935">
        <f>SUM(G2139:G2142)</f>
        <v>84190</v>
      </c>
    </row>
    <row r="2144" spans="1:7" s="413" customFormat="1" ht="13.5" customHeight="1">
      <c r="A2144" s="918" t="s">
        <v>77</v>
      </c>
      <c r="B2144" s="945" t="s">
        <v>299</v>
      </c>
      <c r="C2144" s="946"/>
      <c r="D2144" s="946"/>
      <c r="E2144" s="947"/>
      <c r="F2144" s="948"/>
      <c r="G2144" s="948"/>
    </row>
    <row r="2145" spans="1:7" s="413" customFormat="1" ht="13.5" customHeight="1">
      <c r="A2145" s="1170"/>
      <c r="B2145" s="1167" t="s">
        <v>610</v>
      </c>
      <c r="C2145" s="1168"/>
      <c r="D2145" s="1168" t="s">
        <v>7</v>
      </c>
      <c r="E2145" s="1169">
        <v>25</v>
      </c>
      <c r="F2145" s="1160">
        <f>Bahan!E208</f>
        <v>14800</v>
      </c>
      <c r="G2145" s="1160">
        <f t="shared" ref="G2145:G2148" si="189">+F2145*E2145</f>
        <v>370000</v>
      </c>
    </row>
    <row r="2146" spans="1:7" s="413" customFormat="1" ht="13.5" customHeight="1">
      <c r="A2146" s="1516"/>
      <c r="B2146" s="1517" t="s">
        <v>87</v>
      </c>
      <c r="C2146" s="1518"/>
      <c r="D2146" s="1518" t="s">
        <v>14</v>
      </c>
      <c r="E2146" s="1519">
        <v>9.3000000000000007</v>
      </c>
      <c r="F2146" s="926">
        <f>Bahan!$E$286</f>
        <v>1450</v>
      </c>
      <c r="G2146" s="1160">
        <f t="shared" ref="G2146:G2147" si="190">+F2146*E2146</f>
        <v>13485.000000000002</v>
      </c>
    </row>
    <row r="2147" spans="1:7" s="413" customFormat="1" ht="13.5" customHeight="1">
      <c r="A2147" s="1516"/>
      <c r="B2147" s="1517" t="s">
        <v>88</v>
      </c>
      <c r="C2147" s="1518"/>
      <c r="D2147" s="1518" t="s">
        <v>10</v>
      </c>
      <c r="E2147" s="1519">
        <v>1.7999999999999999E-2</v>
      </c>
      <c r="F2147" s="926">
        <f>Bahan!$E$106</f>
        <v>270000</v>
      </c>
      <c r="G2147" s="1160">
        <f t="shared" si="190"/>
        <v>4860</v>
      </c>
    </row>
    <row r="2148" spans="1:7" s="413" customFormat="1" ht="13.5" customHeight="1">
      <c r="A2148" s="1352"/>
      <c r="B2148" s="1353" t="s">
        <v>155</v>
      </c>
      <c r="C2148" s="1354"/>
      <c r="D2148" s="1354" t="s">
        <v>14</v>
      </c>
      <c r="E2148" s="1355">
        <v>1.94</v>
      </c>
      <c r="F2148" s="926">
        <f>Bahan!$E$285</f>
        <v>18000</v>
      </c>
      <c r="G2148" s="926">
        <f t="shared" si="189"/>
        <v>34920</v>
      </c>
    </row>
    <row r="2149" spans="1:7" s="413" customFormat="1" ht="13.5" customHeight="1">
      <c r="A2149" s="918"/>
      <c r="B2149" s="930"/>
      <c r="C2149" s="940" t="s">
        <v>642</v>
      </c>
      <c r="D2149" s="941"/>
      <c r="E2149" s="942"/>
      <c r="F2149" s="943"/>
      <c r="G2149" s="944">
        <f>SUM(G2145:G2148)</f>
        <v>423265</v>
      </c>
    </row>
    <row r="2150" spans="1:7" s="413" customFormat="1" ht="13.5" customHeight="1">
      <c r="A2150" s="918" t="s">
        <v>80</v>
      </c>
      <c r="B2150" s="919" t="s">
        <v>250</v>
      </c>
      <c r="C2150" s="937"/>
      <c r="D2150" s="946"/>
      <c r="E2150" s="947"/>
      <c r="F2150" s="948"/>
      <c r="G2150" s="926">
        <v>0</v>
      </c>
    </row>
    <row r="2151" spans="1:7" s="413" customFormat="1" ht="13.5" customHeight="1">
      <c r="A2151" s="960"/>
      <c r="B2151" s="961"/>
      <c r="C2151" s="962" t="s">
        <v>287</v>
      </c>
      <c r="D2151" s="941"/>
      <c r="E2151" s="942"/>
      <c r="F2151" s="943"/>
      <c r="G2151" s="944">
        <v>0</v>
      </c>
    </row>
    <row r="2152" spans="1:7" s="413" customFormat="1" ht="13.5" customHeight="1">
      <c r="A2152" s="963" t="s">
        <v>83</v>
      </c>
      <c r="B2152" s="964" t="s">
        <v>292</v>
      </c>
      <c r="C2152" s="965"/>
      <c r="D2152" s="915"/>
      <c r="E2152" s="966"/>
      <c r="F2152" s="967"/>
      <c r="G2152" s="968">
        <f>+G2151+G2149+G2143</f>
        <v>507455</v>
      </c>
    </row>
    <row r="2153" spans="1:7" s="413" customFormat="1" ht="13.5" customHeight="1">
      <c r="A2153" s="963" t="s">
        <v>84</v>
      </c>
      <c r="B2153" s="969" t="s">
        <v>293</v>
      </c>
      <c r="C2153" s="912"/>
      <c r="D2153" s="915"/>
      <c r="E2153" s="970">
        <f>$I$2</f>
        <v>0.1</v>
      </c>
      <c r="F2153" s="967"/>
      <c r="G2153" s="968">
        <f>+G2152*E2153</f>
        <v>50745.5</v>
      </c>
    </row>
    <row r="2154" spans="1:7" s="413" customFormat="1" ht="13.5" customHeight="1" thickBot="1">
      <c r="A2154" s="971" t="s">
        <v>85</v>
      </c>
      <c r="B2154" s="972" t="s">
        <v>86</v>
      </c>
      <c r="C2154" s="973"/>
      <c r="D2154" s="973"/>
      <c r="E2154" s="974"/>
      <c r="F2154" s="975"/>
      <c r="G2154" s="976">
        <f>+G2153+G2152</f>
        <v>558200.5</v>
      </c>
    </row>
    <row r="2155" spans="1:7" ht="15" thickTop="1"/>
    <row r="2156" spans="1:7" s="413" customFormat="1" ht="15" thickBot="1">
      <c r="A2156" s="294" t="s">
        <v>614</v>
      </c>
      <c r="B2156" s="294"/>
      <c r="C2156" s="294"/>
      <c r="D2156" s="294"/>
      <c r="E2156" s="1174"/>
      <c r="F2156" s="294"/>
      <c r="G2156" s="1175"/>
    </row>
    <row r="2157" spans="1:7" s="413" customFormat="1" ht="15" thickTop="1">
      <c r="A2157" s="1797" t="s">
        <v>275</v>
      </c>
      <c r="B2157" s="1799" t="s">
        <v>295</v>
      </c>
      <c r="C2157" s="1799" t="s">
        <v>276</v>
      </c>
      <c r="D2157" s="1799" t="s">
        <v>277</v>
      </c>
      <c r="E2157" s="1801" t="s">
        <v>278</v>
      </c>
      <c r="F2157" s="916" t="s">
        <v>279</v>
      </c>
      <c r="G2157" s="916" t="s">
        <v>280</v>
      </c>
    </row>
    <row r="2158" spans="1:7" s="413" customFormat="1">
      <c r="A2158" s="1798"/>
      <c r="B2158" s="1800"/>
      <c r="C2158" s="1800"/>
      <c r="D2158" s="1800"/>
      <c r="E2158" s="1802"/>
      <c r="F2158" s="917" t="s">
        <v>67</v>
      </c>
      <c r="G2158" s="917" t="s">
        <v>67</v>
      </c>
    </row>
    <row r="2159" spans="1:7" s="413" customFormat="1">
      <c r="A2159" s="1520" t="s">
        <v>262</v>
      </c>
      <c r="B2159" s="1521" t="s">
        <v>615</v>
      </c>
      <c r="C2159" s="1522"/>
      <c r="D2159" s="1522"/>
      <c r="E2159" s="1523"/>
      <c r="F2159" s="1522"/>
      <c r="G2159" s="1524"/>
    </row>
    <row r="2160" spans="1:7" s="413" customFormat="1">
      <c r="A2160" s="1525"/>
      <c r="B2160" s="1526" t="s">
        <v>616</v>
      </c>
      <c r="C2160" s="1527"/>
      <c r="D2160" s="1527" t="s">
        <v>91</v>
      </c>
      <c r="E2160" s="1528">
        <v>1</v>
      </c>
      <c r="F2160" s="1526">
        <f>Upah!F38</f>
        <v>1350000</v>
      </c>
      <c r="G2160" s="1529">
        <f>F2160*E2160</f>
        <v>1350000</v>
      </c>
    </row>
    <row r="2161" spans="1:7" s="413" customFormat="1">
      <c r="A2161" s="1530"/>
      <c r="B2161" s="1531" t="s">
        <v>617</v>
      </c>
      <c r="C2161" s="1532"/>
      <c r="D2161" s="1532" t="s">
        <v>266</v>
      </c>
      <c r="E2161" s="1533">
        <v>6</v>
      </c>
      <c r="F2161" s="1526">
        <f>Upah!F39</f>
        <v>59500</v>
      </c>
      <c r="G2161" s="1534">
        <f>F2161*E2161</f>
        <v>357000</v>
      </c>
    </row>
    <row r="2162" spans="1:7" s="413" customFormat="1">
      <c r="A2162" s="1535"/>
      <c r="B2162" s="1536"/>
      <c r="C2162" s="1536"/>
      <c r="D2162" s="1537"/>
      <c r="E2162" s="1832" t="s">
        <v>618</v>
      </c>
      <c r="F2162" s="1832"/>
      <c r="G2162" s="1538">
        <f>SUM(G2160:G2161)</f>
        <v>1707000</v>
      </c>
    </row>
    <row r="2163" spans="1:7" s="413" customFormat="1">
      <c r="A2163" s="1539" t="s">
        <v>263</v>
      </c>
      <c r="B2163" s="1540" t="s">
        <v>78</v>
      </c>
      <c r="C2163" s="1541"/>
      <c r="D2163" s="1541"/>
      <c r="E2163" s="1542"/>
      <c r="F2163" s="1543"/>
      <c r="G2163" s="1544"/>
    </row>
    <row r="2164" spans="1:7" s="413" customFormat="1">
      <c r="A2164" s="1545"/>
      <c r="B2164" s="1526" t="s">
        <v>538</v>
      </c>
      <c r="C2164" s="1526"/>
      <c r="D2164" s="1527" t="s">
        <v>7</v>
      </c>
      <c r="E2164" s="1546">
        <v>4</v>
      </c>
      <c r="F2164" s="1547">
        <f>Bahan!E314</f>
        <v>125000</v>
      </c>
      <c r="G2164" s="1548">
        <f>F2164*E2164</f>
        <v>500000</v>
      </c>
    </row>
    <row r="2165" spans="1:7" s="413" customFormat="1">
      <c r="A2165" s="1545"/>
      <c r="B2165" s="1526" t="s">
        <v>539</v>
      </c>
      <c r="C2165" s="1526"/>
      <c r="D2165" s="1527" t="s">
        <v>7</v>
      </c>
      <c r="E2165" s="1546">
        <v>4</v>
      </c>
      <c r="F2165" s="1547">
        <f>Bahan!E315</f>
        <v>15000</v>
      </c>
      <c r="G2165" s="1548">
        <f t="shared" ref="G2165:G2172" si="191">F2165*E2165</f>
        <v>60000</v>
      </c>
    </row>
    <row r="2166" spans="1:7" s="413" customFormat="1">
      <c r="A2166" s="1545"/>
      <c r="B2166" s="1526" t="s">
        <v>535</v>
      </c>
      <c r="C2166" s="1526"/>
      <c r="D2166" s="1527" t="s">
        <v>266</v>
      </c>
      <c r="E2166" s="1546">
        <v>5</v>
      </c>
      <c r="F2166" s="1547">
        <f>Bahan!E316</f>
        <v>104667.5</v>
      </c>
      <c r="G2166" s="1548">
        <f t="shared" si="191"/>
        <v>523337.5</v>
      </c>
    </row>
    <row r="2167" spans="1:7" s="413" customFormat="1">
      <c r="A2167" s="1545"/>
      <c r="B2167" s="1526" t="s">
        <v>540</v>
      </c>
      <c r="C2167" s="1526"/>
      <c r="D2167" s="1527" t="s">
        <v>266</v>
      </c>
      <c r="E2167" s="1546">
        <v>42.5</v>
      </c>
      <c r="F2167" s="1547">
        <f>Bahan!E317</f>
        <v>80000</v>
      </c>
      <c r="G2167" s="1548">
        <f t="shared" si="191"/>
        <v>3400000</v>
      </c>
    </row>
    <row r="2168" spans="1:7" s="413" customFormat="1">
      <c r="A2168" s="1545"/>
      <c r="B2168" s="1526" t="s">
        <v>541</v>
      </c>
      <c r="C2168" s="1526"/>
      <c r="D2168" s="1527" t="s">
        <v>7</v>
      </c>
      <c r="E2168" s="1546">
        <v>6</v>
      </c>
      <c r="F2168" s="1547">
        <f>Bahan!E318</f>
        <v>2220</v>
      </c>
      <c r="G2168" s="1548">
        <f t="shared" si="191"/>
        <v>13320</v>
      </c>
    </row>
    <row r="2169" spans="1:7" s="413" customFormat="1">
      <c r="A2169" s="1545"/>
      <c r="B2169" s="1526" t="s">
        <v>542</v>
      </c>
      <c r="C2169" s="1526"/>
      <c r="D2169" s="1527" t="s">
        <v>7</v>
      </c>
      <c r="E2169" s="1546">
        <v>3</v>
      </c>
      <c r="F2169" s="1547">
        <f>Bahan!E319</f>
        <v>17000</v>
      </c>
      <c r="G2169" s="1548">
        <f t="shared" si="191"/>
        <v>51000</v>
      </c>
    </row>
    <row r="2170" spans="1:7" s="413" customFormat="1">
      <c r="A2170" s="1545"/>
      <c r="B2170" s="1526" t="s">
        <v>543</v>
      </c>
      <c r="C2170" s="1526"/>
      <c r="D2170" s="1527" t="s">
        <v>7</v>
      </c>
      <c r="E2170" s="1546">
        <v>1</v>
      </c>
      <c r="F2170" s="1547">
        <f>Bahan!E320</f>
        <v>55000</v>
      </c>
      <c r="G2170" s="1548">
        <f t="shared" si="191"/>
        <v>55000</v>
      </c>
    </row>
    <row r="2171" spans="1:7" s="413" customFormat="1">
      <c r="A2171" s="1545"/>
      <c r="B2171" s="1526" t="s">
        <v>544</v>
      </c>
      <c r="C2171" s="1526"/>
      <c r="D2171" s="1527" t="s">
        <v>7</v>
      </c>
      <c r="E2171" s="1546">
        <v>1</v>
      </c>
      <c r="F2171" s="1547">
        <f>Bahan!E321</f>
        <v>4000</v>
      </c>
      <c r="G2171" s="1548">
        <f t="shared" si="191"/>
        <v>4000</v>
      </c>
    </row>
    <row r="2172" spans="1:7" s="413" customFormat="1">
      <c r="A2172" s="1549"/>
      <c r="B2172" s="1531" t="s">
        <v>545</v>
      </c>
      <c r="C2172" s="1531"/>
      <c r="D2172" s="1550" t="s">
        <v>272</v>
      </c>
      <c r="E2172" s="1551">
        <v>10</v>
      </c>
      <c r="F2172" s="1547">
        <f>Bahan!E322</f>
        <v>36000</v>
      </c>
      <c r="G2172" s="1553">
        <f t="shared" si="191"/>
        <v>360000</v>
      </c>
    </row>
    <row r="2173" spans="1:7" s="413" customFormat="1">
      <c r="A2173" s="1535"/>
      <c r="B2173" s="1536"/>
      <c r="C2173" s="1536"/>
      <c r="D2173" s="1536"/>
      <c r="E2173" s="1833" t="s">
        <v>79</v>
      </c>
      <c r="F2173" s="1834"/>
      <c r="G2173" s="1554">
        <f>SUM(G2164:G2172)</f>
        <v>4966657.5</v>
      </c>
    </row>
    <row r="2174" spans="1:7" s="413" customFormat="1">
      <c r="A2174" s="1555" t="s">
        <v>264</v>
      </c>
      <c r="B2174" s="1556" t="s">
        <v>81</v>
      </c>
      <c r="C2174" s="1536"/>
      <c r="D2174" s="1536"/>
      <c r="E2174" s="1557"/>
      <c r="F2174" s="1536"/>
      <c r="G2174" s="1558"/>
    </row>
    <row r="2175" spans="1:7" s="413" customFormat="1">
      <c r="A2175" s="1555"/>
      <c r="B2175" s="1559"/>
      <c r="C2175" s="1536"/>
      <c r="D2175" s="1560"/>
      <c r="E2175" s="1557"/>
      <c r="F2175" s="1536"/>
      <c r="G2175" s="1558"/>
    </row>
    <row r="2176" spans="1:7" s="413" customFormat="1">
      <c r="A2176" s="1535"/>
      <c r="B2176" s="1536"/>
      <c r="C2176" s="1536"/>
      <c r="D2176" s="1536"/>
      <c r="E2176" s="1833" t="s">
        <v>82</v>
      </c>
      <c r="F2176" s="1835"/>
      <c r="G2176" s="1558">
        <v>0</v>
      </c>
    </row>
    <row r="2177" spans="1:7" s="413" customFormat="1">
      <c r="A2177" s="1535"/>
      <c r="B2177" s="1536"/>
      <c r="C2177" s="1536"/>
      <c r="D2177" s="1536"/>
      <c r="E2177" s="1557"/>
      <c r="F2177" s="1536"/>
      <c r="G2177" s="1558"/>
    </row>
    <row r="2178" spans="1:7" s="413" customFormat="1">
      <c r="A2178" s="1535" t="s">
        <v>281</v>
      </c>
      <c r="B2178" s="1836" t="s">
        <v>282</v>
      </c>
      <c r="C2178" s="1836"/>
      <c r="D2178" s="1836"/>
      <c r="E2178" s="1836"/>
      <c r="F2178" s="1836"/>
      <c r="G2178" s="1558">
        <f>G2176+G2173+G2162</f>
        <v>6673657.5</v>
      </c>
    </row>
    <row r="2179" spans="1:7" s="413" customFormat="1">
      <c r="A2179" s="1535" t="s">
        <v>90</v>
      </c>
      <c r="B2179" s="1837" t="s">
        <v>619</v>
      </c>
      <c r="C2179" s="1837"/>
      <c r="D2179" s="1837"/>
      <c r="E2179" s="970">
        <f>$I$2</f>
        <v>0.1</v>
      </c>
      <c r="F2179" s="967"/>
      <c r="G2179" s="968">
        <f>+G2178*E2179</f>
        <v>667365.75</v>
      </c>
    </row>
    <row r="2180" spans="1:7" s="413" customFormat="1">
      <c r="A2180" s="1561" t="s">
        <v>94</v>
      </c>
      <c r="B2180" s="1846" t="s">
        <v>86</v>
      </c>
      <c r="C2180" s="1846"/>
      <c r="D2180" s="1846"/>
      <c r="E2180" s="1846"/>
      <c r="F2180" s="1846"/>
      <c r="G2180" s="1562">
        <f>G2178+G2179</f>
        <v>7341023.25</v>
      </c>
    </row>
    <row r="2181" spans="1:7" s="413" customFormat="1">
      <c r="A2181" s="1563" t="s">
        <v>620</v>
      </c>
      <c r="B2181" s="1847" t="s">
        <v>621</v>
      </c>
      <c r="C2181" s="1847"/>
      <c r="D2181" s="1847"/>
      <c r="E2181" s="1847"/>
      <c r="F2181" s="1847"/>
      <c r="G2181" s="1564">
        <f>ROUNDDOWN(G2180,0)</f>
        <v>7341023</v>
      </c>
    </row>
    <row r="2183" spans="1:7" ht="15" thickBot="1">
      <c r="A2183" s="294" t="s">
        <v>717</v>
      </c>
      <c r="B2183" s="294"/>
      <c r="C2183" s="294"/>
      <c r="D2183" s="294"/>
      <c r="E2183" s="294"/>
      <c r="F2183" s="294"/>
      <c r="G2183" s="294"/>
    </row>
    <row r="2184" spans="1:7" ht="15" thickTop="1">
      <c r="A2184" s="1797" t="s">
        <v>275</v>
      </c>
      <c r="B2184" s="1799" t="s">
        <v>295</v>
      </c>
      <c r="C2184" s="1799" t="s">
        <v>276</v>
      </c>
      <c r="D2184" s="1799" t="s">
        <v>277</v>
      </c>
      <c r="E2184" s="1801" t="s">
        <v>278</v>
      </c>
      <c r="F2184" s="916" t="s">
        <v>279</v>
      </c>
      <c r="G2184" s="916" t="s">
        <v>280</v>
      </c>
    </row>
    <row r="2185" spans="1:7" s="111" customFormat="1">
      <c r="A2185" s="1798"/>
      <c r="B2185" s="1800"/>
      <c r="C2185" s="1800"/>
      <c r="D2185" s="1800"/>
      <c r="E2185" s="1802"/>
      <c r="F2185" s="917" t="s">
        <v>67</v>
      </c>
      <c r="G2185" s="917" t="s">
        <v>67</v>
      </c>
    </row>
    <row r="2186" spans="1:7">
      <c r="A2186" s="1565" t="s">
        <v>262</v>
      </c>
      <c r="B2186" s="1566" t="s">
        <v>718</v>
      </c>
      <c r="C2186" s="1567"/>
      <c r="D2186" s="1567"/>
      <c r="E2186" s="1567"/>
      <c r="F2186" s="1567"/>
      <c r="G2186" s="1110"/>
    </row>
    <row r="2187" spans="1:7">
      <c r="A2187" s="1482"/>
      <c r="B2187" s="1115" t="s">
        <v>69</v>
      </c>
      <c r="C2187" s="1483" t="s">
        <v>70</v>
      </c>
      <c r="D2187" s="1483" t="s">
        <v>71</v>
      </c>
      <c r="E2187" s="1114">
        <v>0.02</v>
      </c>
      <c r="F2187" s="1115">
        <f>F2139</f>
        <v>130000</v>
      </c>
      <c r="G2187" s="1116">
        <f>F2187*E2187</f>
        <v>2600</v>
      </c>
    </row>
    <row r="2188" spans="1:7">
      <c r="A2188" s="1482"/>
      <c r="B2188" s="1115" t="s">
        <v>719</v>
      </c>
      <c r="C2188" s="1483" t="s">
        <v>72</v>
      </c>
      <c r="D2188" s="1483" t="s">
        <v>71</v>
      </c>
      <c r="E2188" s="1114">
        <v>6.3E-2</v>
      </c>
      <c r="F2188" s="1115">
        <f>Upah!F21</f>
        <v>140000</v>
      </c>
      <c r="G2188" s="1116">
        <f>F2188*E2188</f>
        <v>8820</v>
      </c>
    </row>
    <row r="2189" spans="1:7">
      <c r="A2189" s="1482"/>
      <c r="B2189" s="1115" t="s">
        <v>720</v>
      </c>
      <c r="C2189" s="1483" t="s">
        <v>74</v>
      </c>
      <c r="D2189" s="1483" t="s">
        <v>71</v>
      </c>
      <c r="E2189" s="1114">
        <v>0.06</v>
      </c>
      <c r="F2189" s="1115">
        <f>Upah!F10</f>
        <v>150000</v>
      </c>
      <c r="G2189" s="1116">
        <f>F2189*E2189</f>
        <v>9000</v>
      </c>
    </row>
    <row r="2190" spans="1:7">
      <c r="A2190" s="1568"/>
      <c r="B2190" s="1569" t="s">
        <v>50</v>
      </c>
      <c r="C2190" s="1570" t="s">
        <v>75</v>
      </c>
      <c r="D2190" s="1570" t="s">
        <v>71</v>
      </c>
      <c r="E2190" s="1571">
        <v>0.03</v>
      </c>
      <c r="F2190" s="1569">
        <f>Upah!F8</f>
        <v>170000</v>
      </c>
      <c r="G2190" s="1572">
        <f>F2190*E2190</f>
        <v>5100</v>
      </c>
    </row>
    <row r="2191" spans="1:7">
      <c r="A2191" s="1486"/>
      <c r="B2191" s="1487"/>
      <c r="C2191" s="1487"/>
      <c r="D2191" s="1487"/>
      <c r="E2191" s="1840" t="s">
        <v>76</v>
      </c>
      <c r="F2191" s="1841"/>
      <c r="G2191" s="1125">
        <f>SUM(G2187:G2190)</f>
        <v>25520</v>
      </c>
    </row>
    <row r="2192" spans="1:7">
      <c r="A2192" s="1573" t="s">
        <v>263</v>
      </c>
      <c r="B2192" s="1574" t="s">
        <v>78</v>
      </c>
      <c r="C2192" s="1487"/>
      <c r="D2192" s="1487"/>
      <c r="E2192" s="1575"/>
      <c r="F2192" s="1576"/>
      <c r="G2192" s="1138"/>
    </row>
    <row r="2193" spans="1:10">
      <c r="A2193" s="1057"/>
      <c r="B2193" s="1577" t="s">
        <v>721</v>
      </c>
      <c r="C2193" s="1059"/>
      <c r="D2193" s="1578" t="s">
        <v>14</v>
      </c>
      <c r="E2193" s="1579">
        <v>0.25</v>
      </c>
      <c r="F2193" s="1580">
        <f>Bahan!E173</f>
        <v>66000</v>
      </c>
      <c r="G2193" s="1581">
        <f>F2193*E2193</f>
        <v>16500</v>
      </c>
      <c r="I2193" s="229" t="s">
        <v>725</v>
      </c>
      <c r="J2193">
        <f>550000/10</f>
        <v>55000</v>
      </c>
    </row>
    <row r="2194" spans="1:10">
      <c r="A2194" s="1076"/>
      <c r="B2194" s="1582" t="s">
        <v>722</v>
      </c>
      <c r="C2194" s="1062"/>
      <c r="D2194" s="1080" t="s">
        <v>14</v>
      </c>
      <c r="E2194" s="1583">
        <v>0.35</v>
      </c>
      <c r="F2194" s="1584">
        <f>Bahan!E174</f>
        <v>68100</v>
      </c>
      <c r="G2194" s="1585">
        <f>F2194*E2194</f>
        <v>23835</v>
      </c>
      <c r="I2194" s="10" t="s">
        <v>724</v>
      </c>
      <c r="J2194">
        <f>1135000/20</f>
        <v>56750</v>
      </c>
    </row>
    <row r="2195" spans="1:10">
      <c r="A2195" s="1586"/>
      <c r="B2195" s="1587" t="s">
        <v>723</v>
      </c>
      <c r="C2195" s="1569"/>
      <c r="D2195" s="1588" t="s">
        <v>14</v>
      </c>
      <c r="E2195" s="1589">
        <v>0.1</v>
      </c>
      <c r="F2195" s="1552">
        <f>Bahan!E154</f>
        <v>10000</v>
      </c>
      <c r="G2195" s="1494">
        <f>F2195*E2195</f>
        <v>1000</v>
      </c>
    </row>
    <row r="2196" spans="1:10">
      <c r="A2196" s="1486"/>
      <c r="B2196" s="1487"/>
      <c r="C2196" s="1487"/>
      <c r="D2196" s="1487"/>
      <c r="E2196" s="1842" t="s">
        <v>79</v>
      </c>
      <c r="F2196" s="1821"/>
      <c r="G2196" s="1125">
        <f>SUM(G2193:G2195)</f>
        <v>41335</v>
      </c>
    </row>
    <row r="2197" spans="1:10" s="101" customFormat="1">
      <c r="A2197" s="1573" t="s">
        <v>264</v>
      </c>
      <c r="B2197" s="1574" t="s">
        <v>81</v>
      </c>
      <c r="C2197" s="1487"/>
      <c r="D2197" s="1487"/>
      <c r="E2197" s="1487"/>
      <c r="F2197" s="1487"/>
      <c r="G2197" s="1138"/>
    </row>
    <row r="2198" spans="1:10">
      <c r="A2198" s="1486"/>
      <c r="B2198" s="1487"/>
      <c r="C2198" s="1487"/>
      <c r="D2198" s="1487"/>
      <c r="E2198" s="1819" t="s">
        <v>82</v>
      </c>
      <c r="F2198" s="1820"/>
      <c r="G2198" s="1138">
        <v>0</v>
      </c>
    </row>
    <row r="2199" spans="1:10">
      <c r="A2199" s="1590" t="s">
        <v>281</v>
      </c>
      <c r="B2199" s="1843" t="s">
        <v>282</v>
      </c>
      <c r="C2199" s="1844"/>
      <c r="D2199" s="1844"/>
      <c r="E2199" s="1844"/>
      <c r="F2199" s="1845"/>
      <c r="G2199" s="1591">
        <f>G2198+G2196+G2191</f>
        <v>66855</v>
      </c>
    </row>
    <row r="2200" spans="1:10">
      <c r="A2200" s="1482" t="s">
        <v>90</v>
      </c>
      <c r="B2200" s="1838" t="s">
        <v>619</v>
      </c>
      <c r="C2200" s="1839"/>
      <c r="D2200" s="1839"/>
      <c r="E2200" s="970">
        <f>$I$2</f>
        <v>0.1</v>
      </c>
      <c r="F2200" s="1592"/>
      <c r="G2200" s="1593">
        <f>+G2199*E2200</f>
        <v>6685.5</v>
      </c>
    </row>
    <row r="2201" spans="1:10">
      <c r="A2201" s="1594" t="s">
        <v>94</v>
      </c>
      <c r="B2201" s="1810" t="s">
        <v>86</v>
      </c>
      <c r="C2201" s="1811"/>
      <c r="D2201" s="1811"/>
      <c r="E2201" s="1811"/>
      <c r="F2201" s="1812"/>
      <c r="G2201" s="1595">
        <f>G2199+G2200</f>
        <v>73540.5</v>
      </c>
    </row>
    <row r="2202" spans="1:10">
      <c r="A2202" s="1563" t="s">
        <v>620</v>
      </c>
      <c r="B2202" s="1813" t="s">
        <v>621</v>
      </c>
      <c r="C2202" s="1814"/>
      <c r="D2202" s="1814"/>
      <c r="E2202" s="1814"/>
      <c r="F2202" s="1815"/>
      <c r="G2202" s="1564">
        <f>ROUNDDOWN(G2201,0)</f>
        <v>73540</v>
      </c>
    </row>
    <row r="2204" spans="1:10" s="111" customFormat="1">
      <c r="A2204" s="10"/>
      <c r="B2204" s="10"/>
      <c r="C2204" s="10"/>
      <c r="D2204" s="10"/>
      <c r="E2204" s="1004"/>
      <c r="F2204" s="10"/>
      <c r="G2204" s="46"/>
    </row>
    <row r="2205" spans="1:10" s="111" customFormat="1">
      <c r="A2205" s="10"/>
      <c r="B2205" s="10"/>
      <c r="C2205" s="10"/>
      <c r="D2205" s="10"/>
      <c r="E2205" s="1004"/>
      <c r="F2205" s="10"/>
      <c r="G2205" s="46"/>
    </row>
    <row r="2206" spans="1:10" s="111" customFormat="1" ht="15.75" thickBot="1">
      <c r="A2206" s="1596" t="s">
        <v>745</v>
      </c>
      <c r="B2206" s="294"/>
      <c r="C2206" s="294"/>
      <c r="D2206" s="294"/>
      <c r="E2206" s="294"/>
      <c r="F2206" s="294"/>
      <c r="G2206" s="294"/>
    </row>
    <row r="2207" spans="1:10" s="111" customFormat="1" ht="15" thickTop="1">
      <c r="A2207" s="1797" t="s">
        <v>275</v>
      </c>
      <c r="B2207" s="1799" t="s">
        <v>295</v>
      </c>
      <c r="C2207" s="1799" t="s">
        <v>276</v>
      </c>
      <c r="D2207" s="1799" t="s">
        <v>277</v>
      </c>
      <c r="E2207" s="1801" t="s">
        <v>278</v>
      </c>
      <c r="F2207" s="916" t="s">
        <v>279</v>
      </c>
      <c r="G2207" s="916" t="s">
        <v>280</v>
      </c>
    </row>
    <row r="2208" spans="1:10" s="111" customFormat="1">
      <c r="A2208" s="1798"/>
      <c r="B2208" s="1800"/>
      <c r="C2208" s="1800"/>
      <c r="D2208" s="1800"/>
      <c r="E2208" s="1802"/>
      <c r="F2208" s="917" t="s">
        <v>67</v>
      </c>
      <c r="G2208" s="917" t="s">
        <v>67</v>
      </c>
    </row>
    <row r="2209" spans="1:7" s="111" customFormat="1">
      <c r="A2209" s="1565" t="s">
        <v>262</v>
      </c>
      <c r="B2209" s="1566" t="s">
        <v>718</v>
      </c>
      <c r="C2209" s="1567"/>
      <c r="D2209" s="1567"/>
      <c r="E2209" s="1567"/>
      <c r="F2209" s="1567"/>
      <c r="G2209" s="1110"/>
    </row>
    <row r="2210" spans="1:7" s="111" customFormat="1">
      <c r="A2210" s="1482"/>
      <c r="B2210" s="1597" t="s">
        <v>69</v>
      </c>
      <c r="C2210" s="1483" t="s">
        <v>70</v>
      </c>
      <c r="D2210" s="1483" t="s">
        <v>71</v>
      </c>
      <c r="E2210" s="1114">
        <v>0.2</v>
      </c>
      <c r="F2210" s="1115">
        <f>F2187</f>
        <v>130000</v>
      </c>
      <c r="G2210" s="1116">
        <f>F2210*E2210</f>
        <v>26000</v>
      </c>
    </row>
    <row r="2211" spans="1:7" s="111" customFormat="1">
      <c r="A2211" s="1482"/>
      <c r="B2211" s="1597" t="s">
        <v>742</v>
      </c>
      <c r="C2211" s="1483" t="s">
        <v>72</v>
      </c>
      <c r="D2211" s="1483" t="s">
        <v>71</v>
      </c>
      <c r="E2211" s="1114">
        <v>0.1</v>
      </c>
      <c r="F2211" s="1115">
        <f>Upah!F17</f>
        <v>140000</v>
      </c>
      <c r="G2211" s="1116">
        <f>F2211*E2211</f>
        <v>14000</v>
      </c>
    </row>
    <row r="2212" spans="1:7" s="111" customFormat="1">
      <c r="A2212" s="1482"/>
      <c r="B2212" s="1597" t="s">
        <v>73</v>
      </c>
      <c r="C2212" s="1483" t="s">
        <v>74</v>
      </c>
      <c r="D2212" s="1483" t="s">
        <v>71</v>
      </c>
      <c r="E2212" s="1114">
        <v>0.01</v>
      </c>
      <c r="F2212" s="1115">
        <f>F2189</f>
        <v>150000</v>
      </c>
      <c r="G2212" s="1116">
        <f>F2212*E2212</f>
        <v>1500</v>
      </c>
    </row>
    <row r="2213" spans="1:7" s="111" customFormat="1">
      <c r="A2213" s="1568"/>
      <c r="B2213" s="1597" t="s">
        <v>50</v>
      </c>
      <c r="C2213" s="1570" t="s">
        <v>75</v>
      </c>
      <c r="D2213" s="1570" t="s">
        <v>71</v>
      </c>
      <c r="E2213" s="1571">
        <v>1E-3</v>
      </c>
      <c r="F2213" s="1569">
        <f>F2190</f>
        <v>170000</v>
      </c>
      <c r="G2213" s="1572">
        <f>F2213*E2213</f>
        <v>170</v>
      </c>
    </row>
    <row r="2214" spans="1:7" s="111" customFormat="1">
      <c r="A2214" s="1486"/>
      <c r="B2214" s="1487"/>
      <c r="C2214" s="1487"/>
      <c r="D2214" s="1487"/>
      <c r="E2214" s="1840" t="s">
        <v>76</v>
      </c>
      <c r="F2214" s="1841"/>
      <c r="G2214" s="1125">
        <f>SUM(G2210:G2213)</f>
        <v>41670</v>
      </c>
    </row>
    <row r="2215" spans="1:7" s="111" customFormat="1">
      <c r="A2215" s="1573" t="s">
        <v>263</v>
      </c>
      <c r="B2215" s="1574" t="s">
        <v>78</v>
      </c>
      <c r="C2215" s="1487"/>
      <c r="D2215" s="1487"/>
      <c r="E2215" s="1575"/>
      <c r="F2215" s="1576"/>
      <c r="G2215" s="1138"/>
    </row>
    <row r="2216" spans="1:7" s="111" customFormat="1">
      <c r="A2216" s="1057"/>
      <c r="B2216" s="1577" t="s">
        <v>739</v>
      </c>
      <c r="C2216" s="1059"/>
      <c r="D2216" s="1578" t="s">
        <v>743</v>
      </c>
      <c r="E2216" s="1579">
        <v>0.04</v>
      </c>
      <c r="F2216" s="1580">
        <f>Bahan!E263</f>
        <v>1300000</v>
      </c>
      <c r="G2216" s="1581">
        <f>F2216*E2216</f>
        <v>52000</v>
      </c>
    </row>
    <row r="2217" spans="1:7" s="111" customFormat="1">
      <c r="A2217" s="1076"/>
      <c r="B2217" s="1582" t="s">
        <v>740</v>
      </c>
      <c r="C2217" s="1062"/>
      <c r="D2217" s="1080" t="s">
        <v>744</v>
      </c>
      <c r="E2217" s="1583">
        <v>1.2</v>
      </c>
      <c r="F2217" s="1584">
        <f>Bahan!E257</f>
        <v>35000</v>
      </c>
      <c r="G2217" s="1585">
        <f>F2217*E2217</f>
        <v>42000</v>
      </c>
    </row>
    <row r="2218" spans="1:7" s="111" customFormat="1">
      <c r="A2218" s="1586"/>
      <c r="B2218" s="1587" t="s">
        <v>741</v>
      </c>
      <c r="C2218" s="1569"/>
      <c r="D2218" s="1588" t="s">
        <v>744</v>
      </c>
      <c r="E2218" s="1589">
        <v>1.2</v>
      </c>
      <c r="F2218" s="1552">
        <f>Bahan!E258</f>
        <v>25000</v>
      </c>
      <c r="G2218" s="1494">
        <f>F2218*E2218</f>
        <v>30000</v>
      </c>
    </row>
    <row r="2219" spans="1:7" s="111" customFormat="1">
      <c r="A2219" s="1486"/>
      <c r="B2219" s="1487"/>
      <c r="C2219" s="1487"/>
      <c r="D2219" s="1487"/>
      <c r="E2219" s="1842" t="s">
        <v>79</v>
      </c>
      <c r="F2219" s="1821"/>
      <c r="G2219" s="1125">
        <f>SUM(G2216:G2218)</f>
        <v>124000</v>
      </c>
    </row>
    <row r="2220" spans="1:7" s="111" customFormat="1">
      <c r="A2220" s="1573" t="s">
        <v>264</v>
      </c>
      <c r="B2220" s="1574" t="s">
        <v>81</v>
      </c>
      <c r="C2220" s="1487"/>
      <c r="D2220" s="1487"/>
      <c r="E2220" s="1487"/>
      <c r="F2220" s="1487"/>
      <c r="G2220" s="1138"/>
    </row>
    <row r="2221" spans="1:7" s="111" customFormat="1">
      <c r="A2221" s="1486"/>
      <c r="B2221" s="1487"/>
      <c r="C2221" s="1487"/>
      <c r="D2221" s="1487"/>
      <c r="E2221" s="1819" t="s">
        <v>82</v>
      </c>
      <c r="F2221" s="1820"/>
      <c r="G2221" s="1138">
        <v>0</v>
      </c>
    </row>
    <row r="2222" spans="1:7" s="111" customFormat="1">
      <c r="A2222" s="1590" t="s">
        <v>281</v>
      </c>
      <c r="B2222" s="1843" t="s">
        <v>282</v>
      </c>
      <c r="C2222" s="1844"/>
      <c r="D2222" s="1844"/>
      <c r="E2222" s="1844"/>
      <c r="F2222" s="1845"/>
      <c r="G2222" s="1591">
        <f>G2221+G2219+G2214</f>
        <v>165670</v>
      </c>
    </row>
    <row r="2223" spans="1:7" s="111" customFormat="1">
      <c r="A2223" s="1482" t="s">
        <v>90</v>
      </c>
      <c r="B2223" s="1838" t="s">
        <v>619</v>
      </c>
      <c r="C2223" s="1839"/>
      <c r="D2223" s="1839"/>
      <c r="E2223" s="970">
        <f>$I$2</f>
        <v>0.1</v>
      </c>
      <c r="F2223" s="1592"/>
      <c r="G2223" s="1593">
        <f>+G2222*E2223</f>
        <v>16567</v>
      </c>
    </row>
    <row r="2224" spans="1:7" s="111" customFormat="1">
      <c r="A2224" s="1594" t="s">
        <v>94</v>
      </c>
      <c r="B2224" s="1810" t="s">
        <v>86</v>
      </c>
      <c r="C2224" s="1811"/>
      <c r="D2224" s="1811"/>
      <c r="E2224" s="1811"/>
      <c r="F2224" s="1812"/>
      <c r="G2224" s="1595">
        <f>G2222+G2223</f>
        <v>182237</v>
      </c>
    </row>
    <row r="2225" spans="1:7" s="111" customFormat="1">
      <c r="A2225" s="1563" t="s">
        <v>620</v>
      </c>
      <c r="B2225" s="1813" t="s">
        <v>621</v>
      </c>
      <c r="C2225" s="1814"/>
      <c r="D2225" s="1814"/>
      <c r="E2225" s="1814"/>
      <c r="F2225" s="1815"/>
      <c r="G2225" s="1564">
        <f>ROUNDDOWN(G2224,0)</f>
        <v>182237</v>
      </c>
    </row>
    <row r="2226" spans="1:7" s="111" customFormat="1">
      <c r="A2226" s="1598"/>
      <c r="B2226" s="1598"/>
      <c r="C2226" s="1598"/>
      <c r="D2226" s="1598"/>
      <c r="E2226" s="1599"/>
      <c r="F2226" s="1598"/>
      <c r="G2226" s="1600"/>
    </row>
    <row r="2227" spans="1:7" s="111" customFormat="1" ht="15.75" thickBot="1">
      <c r="A2227" s="1601" t="s">
        <v>1034</v>
      </c>
      <c r="B2227" s="1601"/>
      <c r="C2227" s="1602"/>
      <c r="D2227" s="1603"/>
      <c r="E2227" s="1602"/>
      <c r="F2227" s="1602"/>
      <c r="G2227" s="1602"/>
    </row>
    <row r="2228" spans="1:7" s="111" customFormat="1" ht="15" thickTop="1">
      <c r="A2228" s="1797" t="s">
        <v>275</v>
      </c>
      <c r="B2228" s="1799" t="s">
        <v>295</v>
      </c>
      <c r="C2228" s="1799" t="s">
        <v>276</v>
      </c>
      <c r="D2228" s="1799" t="s">
        <v>277</v>
      </c>
      <c r="E2228" s="1801" t="s">
        <v>278</v>
      </c>
      <c r="F2228" s="916" t="s">
        <v>279</v>
      </c>
      <c r="G2228" s="916" t="s">
        <v>280</v>
      </c>
    </row>
    <row r="2229" spans="1:7" s="111" customFormat="1">
      <c r="A2229" s="1798"/>
      <c r="B2229" s="1800"/>
      <c r="C2229" s="1800"/>
      <c r="D2229" s="1800"/>
      <c r="E2229" s="1802"/>
      <c r="F2229" s="917" t="s">
        <v>67</v>
      </c>
      <c r="G2229" s="917" t="s">
        <v>67</v>
      </c>
    </row>
    <row r="2230" spans="1:7" s="111" customFormat="1">
      <c r="A2230" s="1203" t="s">
        <v>262</v>
      </c>
      <c r="B2230" s="1604" t="s">
        <v>631</v>
      </c>
      <c r="C2230" s="1604"/>
      <c r="D2230" s="1203"/>
      <c r="E2230" s="1605"/>
      <c r="F2230" s="1606"/>
      <c r="G2230" s="1607"/>
    </row>
    <row r="2231" spans="1:7" s="111" customFormat="1">
      <c r="A2231" s="1189"/>
      <c r="B2231" s="1608" t="s">
        <v>69</v>
      </c>
      <c r="C2231" s="1608" t="s">
        <v>70</v>
      </c>
      <c r="D2231" s="1189" t="s">
        <v>992</v>
      </c>
      <c r="E2231" s="1609">
        <v>0.25240000000000001</v>
      </c>
      <c r="F2231" s="1295">
        <f>F2210</f>
        <v>130000</v>
      </c>
      <c r="G2231" s="1295">
        <f>E2231*F2231</f>
        <v>32812</v>
      </c>
    </row>
    <row r="2232" spans="1:7" s="111" customFormat="1">
      <c r="A2232" s="1189"/>
      <c r="B2232" s="1608" t="s">
        <v>54</v>
      </c>
      <c r="C2232" s="1608" t="s">
        <v>72</v>
      </c>
      <c r="D2232" s="1189" t="s">
        <v>992</v>
      </c>
      <c r="E2232" s="1609">
        <v>0.25240000000000001</v>
      </c>
      <c r="F2232" s="1295">
        <f>F2211</f>
        <v>140000</v>
      </c>
      <c r="G2232" s="1295">
        <f>E2232*F2232</f>
        <v>35336</v>
      </c>
    </row>
    <row r="2233" spans="1:7" s="111" customFormat="1">
      <c r="A2233" s="1194"/>
      <c r="B2233" s="1610" t="s">
        <v>50</v>
      </c>
      <c r="C2233" s="1610" t="s">
        <v>75</v>
      </c>
      <c r="D2233" s="1194" t="s">
        <v>992</v>
      </c>
      <c r="E2233" s="1611">
        <v>1.26E-2</v>
      </c>
      <c r="F2233" s="1299">
        <f>F2213</f>
        <v>170000</v>
      </c>
      <c r="G2233" s="1299">
        <f>E2233*F2233</f>
        <v>2142</v>
      </c>
    </row>
    <row r="2234" spans="1:7" s="111" customFormat="1" ht="15">
      <c r="A2234" s="1197" t="s">
        <v>632</v>
      </c>
      <c r="B2234" s="1198"/>
      <c r="C2234" s="1198"/>
      <c r="D2234" s="1199"/>
      <c r="E2234" s="1198"/>
      <c r="F2234" s="1304"/>
      <c r="G2234" s="1305">
        <f>SUM(G2231:G2233)</f>
        <v>70290</v>
      </c>
    </row>
    <row r="2235" spans="1:7" s="111" customFormat="1">
      <c r="A2235" s="1203" t="s">
        <v>263</v>
      </c>
      <c r="B2235" s="1604" t="s">
        <v>299</v>
      </c>
      <c r="C2235" s="1604"/>
      <c r="D2235" s="1203"/>
      <c r="E2235" s="1605"/>
      <c r="F2235" s="1612"/>
      <c r="G2235" s="1613"/>
    </row>
    <row r="2236" spans="1:7" s="111" customFormat="1">
      <c r="A2236" s="1189"/>
      <c r="B2236" s="1608" t="s">
        <v>1055</v>
      </c>
      <c r="C2236" s="1608"/>
      <c r="D2236" s="1189" t="s">
        <v>270</v>
      </c>
      <c r="E2236" s="1609">
        <v>4.9500000000000002E-2</v>
      </c>
      <c r="F2236" s="1295">
        <f>G258</f>
        <v>1030011.9088492064</v>
      </c>
      <c r="G2236" s="1295">
        <f t="shared" ref="G2236:G2238" si="192">E2236*F2236</f>
        <v>50985.589488035723</v>
      </c>
    </row>
    <row r="2237" spans="1:7" s="111" customFormat="1">
      <c r="A2237" s="1189"/>
      <c r="B2237" s="1608" t="s">
        <v>993</v>
      </c>
      <c r="C2237" s="1608"/>
      <c r="D2237" s="1189" t="s">
        <v>270</v>
      </c>
      <c r="E2237" s="1609">
        <v>9.9000000000000005E-2</v>
      </c>
      <c r="F2237" s="1295">
        <f>G85</f>
        <v>289050</v>
      </c>
      <c r="G2237" s="1295">
        <f t="shared" si="192"/>
        <v>28615.95</v>
      </c>
    </row>
    <row r="2238" spans="1:7" s="111" customFormat="1">
      <c r="A2238" s="1194"/>
      <c r="B2238" s="1614" t="s">
        <v>1031</v>
      </c>
      <c r="C2238" s="1615"/>
      <c r="D2238" s="1194" t="s">
        <v>291</v>
      </c>
      <c r="E2238" s="1616">
        <f>1/1.2</f>
        <v>0.83333333333333337</v>
      </c>
      <c r="F2238" s="1299">
        <f>Bahan!E310</f>
        <v>1635000</v>
      </c>
      <c r="G2238" s="1299">
        <f t="shared" si="192"/>
        <v>1362500</v>
      </c>
    </row>
    <row r="2239" spans="1:7" s="111" customFormat="1" ht="15">
      <c r="A2239" s="1197" t="s">
        <v>642</v>
      </c>
      <c r="B2239" s="1198"/>
      <c r="C2239" s="1198"/>
      <c r="D2239" s="1199"/>
      <c r="E2239" s="1198"/>
      <c r="F2239" s="1304"/>
      <c r="G2239" s="1305">
        <f>SUM(G2236:G2238)</f>
        <v>1442101.5394880357</v>
      </c>
    </row>
    <row r="2240" spans="1:7" s="111" customFormat="1">
      <c r="A2240" s="1203" t="s">
        <v>264</v>
      </c>
      <c r="B2240" s="1604" t="s">
        <v>250</v>
      </c>
      <c r="C2240" s="1604"/>
      <c r="D2240" s="1203"/>
      <c r="E2240" s="1605"/>
      <c r="F2240" s="1612"/>
      <c r="G2240" s="1613"/>
    </row>
    <row r="2241" spans="1:7" s="111" customFormat="1">
      <c r="A2241" s="1194"/>
      <c r="B2241" s="1610" t="s">
        <v>994</v>
      </c>
      <c r="C2241" s="1615"/>
      <c r="D2241" s="1194" t="s">
        <v>995</v>
      </c>
      <c r="E2241" s="1616">
        <v>0.25240000000000001</v>
      </c>
      <c r="F2241" s="1299">
        <f>Alat!E14</f>
        <v>529159.02</v>
      </c>
      <c r="G2241" s="1299">
        <f t="shared" ref="G2241" si="193">E2241*F2241</f>
        <v>133559.73664800002</v>
      </c>
    </row>
    <row r="2242" spans="1:7" s="111" customFormat="1" ht="15">
      <c r="A2242" s="1197" t="s">
        <v>287</v>
      </c>
      <c r="B2242" s="1198"/>
      <c r="C2242" s="1198"/>
      <c r="D2242" s="1199"/>
      <c r="E2242" s="1198"/>
      <c r="F2242" s="1304"/>
      <c r="G2242" s="1305">
        <f>SUM(G2241)</f>
        <v>133559.73664800002</v>
      </c>
    </row>
    <row r="2243" spans="1:7" s="111" customFormat="1">
      <c r="A2243" s="1208" t="s">
        <v>281</v>
      </c>
      <c r="B2243" s="1211" t="s">
        <v>292</v>
      </c>
      <c r="C2243" s="1617"/>
      <c r="D2243" s="1618"/>
      <c r="E2243" s="1617"/>
      <c r="F2243" s="1619"/>
      <c r="G2243" s="1325">
        <f>G2234+G2239+G2242</f>
        <v>1645951.2761360358</v>
      </c>
    </row>
    <row r="2244" spans="1:7" s="111" customFormat="1">
      <c r="A2244" s="1213" t="s">
        <v>90</v>
      </c>
      <c r="B2244" s="1214" t="s">
        <v>293</v>
      </c>
      <c r="C2244" s="1620"/>
      <c r="D2244" s="1621"/>
      <c r="E2244" s="970">
        <f>$I$2</f>
        <v>0.1</v>
      </c>
      <c r="F2244" s="967"/>
      <c r="G2244" s="1622">
        <f>+G2243*E2244</f>
        <v>164595.1276136036</v>
      </c>
    </row>
    <row r="2245" spans="1:7" s="111" customFormat="1" ht="15">
      <c r="A2245" s="1217" t="s">
        <v>94</v>
      </c>
      <c r="B2245" s="1221" t="s">
        <v>86</v>
      </c>
      <c r="C2245" s="1623"/>
      <c r="D2245" s="1624"/>
      <c r="E2245" s="1623"/>
      <c r="F2245" s="1623"/>
      <c r="G2245" s="1335">
        <f>G2243+G2244</f>
        <v>1810546.4037496394</v>
      </c>
    </row>
    <row r="2246" spans="1:7" s="111" customFormat="1">
      <c r="A2246" s="10"/>
      <c r="B2246" s="10"/>
      <c r="C2246" s="10"/>
      <c r="D2246" s="10"/>
      <c r="E2246" s="1004"/>
      <c r="F2246" s="10"/>
      <c r="G2246" s="46"/>
    </row>
    <row r="2247" spans="1:7" s="111" customFormat="1" ht="15.75" thickBot="1">
      <c r="A2247" s="1601" t="s">
        <v>1024</v>
      </c>
      <c r="B2247" s="1601"/>
      <c r="C2247" s="1602"/>
      <c r="D2247" s="1603"/>
      <c r="E2247" s="1602"/>
      <c r="F2247" s="1602"/>
      <c r="G2247" s="1602"/>
    </row>
    <row r="2248" spans="1:7" s="111" customFormat="1" ht="15" thickTop="1">
      <c r="A2248" s="1797" t="s">
        <v>275</v>
      </c>
      <c r="B2248" s="1799" t="s">
        <v>295</v>
      </c>
      <c r="C2248" s="1799" t="s">
        <v>276</v>
      </c>
      <c r="D2248" s="1799" t="s">
        <v>277</v>
      </c>
      <c r="E2248" s="1801" t="s">
        <v>278</v>
      </c>
      <c r="F2248" s="916" t="s">
        <v>279</v>
      </c>
      <c r="G2248" s="916" t="s">
        <v>280</v>
      </c>
    </row>
    <row r="2249" spans="1:7" s="111" customFormat="1">
      <c r="A2249" s="1798"/>
      <c r="B2249" s="1800"/>
      <c r="C2249" s="1800"/>
      <c r="D2249" s="1800"/>
      <c r="E2249" s="1802"/>
      <c r="F2249" s="917" t="s">
        <v>67</v>
      </c>
      <c r="G2249" s="917" t="s">
        <v>67</v>
      </c>
    </row>
    <row r="2250" spans="1:7" s="111" customFormat="1">
      <c r="A2250" s="1203" t="s">
        <v>262</v>
      </c>
      <c r="B2250" s="1604" t="s">
        <v>631</v>
      </c>
      <c r="C2250" s="1604"/>
      <c r="D2250" s="1203"/>
      <c r="E2250" s="1605"/>
      <c r="F2250" s="1606"/>
      <c r="G2250" s="1607"/>
    </row>
    <row r="2251" spans="1:7" s="111" customFormat="1">
      <c r="A2251" s="1189"/>
      <c r="B2251" s="1608" t="s">
        <v>69</v>
      </c>
      <c r="C2251" s="1608" t="s">
        <v>70</v>
      </c>
      <c r="D2251" s="1189" t="s">
        <v>992</v>
      </c>
      <c r="E2251" s="1609">
        <v>0.25240000000000001</v>
      </c>
      <c r="F2251" s="1295">
        <f>F2231</f>
        <v>130000</v>
      </c>
      <c r="G2251" s="1295">
        <f>E2251*F2251</f>
        <v>32812</v>
      </c>
    </row>
    <row r="2252" spans="1:7" s="111" customFormat="1">
      <c r="A2252" s="1189"/>
      <c r="B2252" s="1608" t="s">
        <v>54</v>
      </c>
      <c r="C2252" s="1608" t="s">
        <v>72</v>
      </c>
      <c r="D2252" s="1189" t="s">
        <v>992</v>
      </c>
      <c r="E2252" s="1609">
        <v>0.25240000000000001</v>
      </c>
      <c r="F2252" s="1295">
        <f t="shared" ref="F2252:F2253" si="194">F2232</f>
        <v>140000</v>
      </c>
      <c r="G2252" s="1295">
        <f>E2252*F2252</f>
        <v>35336</v>
      </c>
    </row>
    <row r="2253" spans="1:7" s="111" customFormat="1">
      <c r="A2253" s="1194"/>
      <c r="B2253" s="1610" t="s">
        <v>50</v>
      </c>
      <c r="C2253" s="1610" t="s">
        <v>75</v>
      </c>
      <c r="D2253" s="1194" t="s">
        <v>992</v>
      </c>
      <c r="E2253" s="1611">
        <v>1.26E-2</v>
      </c>
      <c r="F2253" s="1295">
        <f t="shared" si="194"/>
        <v>170000</v>
      </c>
      <c r="G2253" s="1299">
        <f>E2253*F2253</f>
        <v>2142</v>
      </c>
    </row>
    <row r="2254" spans="1:7" s="111" customFormat="1" ht="15">
      <c r="A2254" s="1197" t="s">
        <v>632</v>
      </c>
      <c r="B2254" s="1198"/>
      <c r="C2254" s="1198"/>
      <c r="D2254" s="1199"/>
      <c r="E2254" s="1198"/>
      <c r="F2254" s="1304"/>
      <c r="G2254" s="1305">
        <f>SUM(G2251:G2253)</f>
        <v>70290</v>
      </c>
    </row>
    <row r="2255" spans="1:7" s="111" customFormat="1">
      <c r="A2255" s="1203" t="s">
        <v>263</v>
      </c>
      <c r="B2255" s="1604" t="s">
        <v>299</v>
      </c>
      <c r="C2255" s="1604"/>
      <c r="D2255" s="1203"/>
      <c r="E2255" s="1605"/>
      <c r="F2255" s="1612"/>
      <c r="G2255" s="1613"/>
    </row>
    <row r="2256" spans="1:7" s="111" customFormat="1">
      <c r="A2256" s="1189"/>
      <c r="B2256" s="1608" t="s">
        <v>1055</v>
      </c>
      <c r="C2256" s="1608"/>
      <c r="D2256" s="1189" t="s">
        <v>270</v>
      </c>
      <c r="E2256" s="1609">
        <v>4.9500000000000002E-2</v>
      </c>
      <c r="F2256" s="1295">
        <f t="shared" ref="F2256:F2257" si="195">F2236</f>
        <v>1030011.9088492064</v>
      </c>
      <c r="G2256" s="1295">
        <f t="shared" ref="G2256:G2258" si="196">E2256*F2256</f>
        <v>50985.589488035723</v>
      </c>
    </row>
    <row r="2257" spans="1:7" s="111" customFormat="1">
      <c r="A2257" s="1189"/>
      <c r="B2257" s="1608" t="s">
        <v>993</v>
      </c>
      <c r="C2257" s="1608"/>
      <c r="D2257" s="1189" t="s">
        <v>270</v>
      </c>
      <c r="E2257" s="1625">
        <f>1/120</f>
        <v>8.3333333333333332E-3</v>
      </c>
      <c r="F2257" s="1295">
        <f t="shared" si="195"/>
        <v>289050</v>
      </c>
      <c r="G2257" s="1295">
        <f t="shared" si="196"/>
        <v>2408.75</v>
      </c>
    </row>
    <row r="2258" spans="1:7" s="111" customFormat="1">
      <c r="A2258" s="1194"/>
      <c r="B2258" s="1614" t="s">
        <v>1032</v>
      </c>
      <c r="C2258" s="1615"/>
      <c r="D2258" s="1194" t="s">
        <v>291</v>
      </c>
      <c r="E2258" s="1616">
        <f>1/1.2</f>
        <v>0.83333333333333337</v>
      </c>
      <c r="F2258" s="1295">
        <f>Bahan!E311</f>
        <v>424000</v>
      </c>
      <c r="G2258" s="1299">
        <f t="shared" si="196"/>
        <v>353333.33333333337</v>
      </c>
    </row>
    <row r="2259" spans="1:7" s="111" customFormat="1" ht="15">
      <c r="A2259" s="1197" t="s">
        <v>642</v>
      </c>
      <c r="B2259" s="1198"/>
      <c r="C2259" s="1198"/>
      <c r="D2259" s="1199"/>
      <c r="E2259" s="1198"/>
      <c r="F2259" s="1304"/>
      <c r="G2259" s="1305">
        <f>SUM(G2256:G2258)</f>
        <v>406727.67282136908</v>
      </c>
    </row>
    <row r="2260" spans="1:7" s="111" customFormat="1">
      <c r="A2260" s="1203" t="s">
        <v>264</v>
      </c>
      <c r="B2260" s="1604" t="s">
        <v>250</v>
      </c>
      <c r="C2260" s="1604"/>
      <c r="D2260" s="1203"/>
      <c r="E2260" s="1605"/>
      <c r="F2260" s="1612"/>
      <c r="G2260" s="1613"/>
    </row>
    <row r="2261" spans="1:7" s="111" customFormat="1">
      <c r="A2261" s="1194"/>
      <c r="B2261" s="1610" t="s">
        <v>994</v>
      </c>
      <c r="C2261" s="1615"/>
      <c r="D2261" s="1194" t="s">
        <v>995</v>
      </c>
      <c r="E2261" s="1616">
        <v>0.25240000000000001</v>
      </c>
      <c r="F2261" s="1295">
        <f>F2241</f>
        <v>529159.02</v>
      </c>
      <c r="G2261" s="1299">
        <f t="shared" ref="G2261" si="197">E2261*F2261</f>
        <v>133559.73664800002</v>
      </c>
    </row>
    <row r="2262" spans="1:7" s="111" customFormat="1" ht="15">
      <c r="A2262" s="1197" t="s">
        <v>287</v>
      </c>
      <c r="B2262" s="1198"/>
      <c r="C2262" s="1198"/>
      <c r="D2262" s="1199"/>
      <c r="E2262" s="1198"/>
      <c r="F2262" s="1304"/>
      <c r="G2262" s="1305">
        <f>SUM(G2261)</f>
        <v>133559.73664800002</v>
      </c>
    </row>
    <row r="2263" spans="1:7" s="111" customFormat="1">
      <c r="A2263" s="1208" t="s">
        <v>281</v>
      </c>
      <c r="B2263" s="1211" t="s">
        <v>292</v>
      </c>
      <c r="C2263" s="1617"/>
      <c r="D2263" s="1618"/>
      <c r="E2263" s="1617"/>
      <c r="F2263" s="1619"/>
      <c r="G2263" s="1325">
        <f>G2254+G2259+G2262</f>
        <v>610577.4094693691</v>
      </c>
    </row>
    <row r="2264" spans="1:7" s="111" customFormat="1">
      <c r="A2264" s="1213" t="s">
        <v>90</v>
      </c>
      <c r="B2264" s="1214" t="s">
        <v>293</v>
      </c>
      <c r="C2264" s="1620"/>
      <c r="D2264" s="1621"/>
      <c r="E2264" s="970">
        <f>$I$2</f>
        <v>0.1</v>
      </c>
      <c r="F2264" s="967"/>
      <c r="G2264" s="1622">
        <f>+G2263*E2264</f>
        <v>61057.740946936916</v>
      </c>
    </row>
    <row r="2265" spans="1:7" s="111" customFormat="1" ht="15">
      <c r="A2265" s="1217" t="s">
        <v>94</v>
      </c>
      <c r="B2265" s="1221" t="s">
        <v>86</v>
      </c>
      <c r="C2265" s="1623"/>
      <c r="D2265" s="1624"/>
      <c r="E2265" s="1623"/>
      <c r="F2265" s="1623"/>
      <c r="G2265" s="1335">
        <f>G2263+G2264</f>
        <v>671635.15041630599</v>
      </c>
    </row>
    <row r="2266" spans="1:7" s="111" customFormat="1">
      <c r="A2266" s="10"/>
      <c r="B2266" s="10"/>
      <c r="C2266" s="10"/>
      <c r="D2266" s="10"/>
      <c r="E2266" s="1004"/>
      <c r="F2266" s="10"/>
      <c r="G2266" s="46"/>
    </row>
    <row r="2267" spans="1:7" s="111" customFormat="1">
      <c r="A2267" s="10"/>
      <c r="B2267" s="10"/>
      <c r="C2267" s="10"/>
      <c r="D2267" s="10"/>
      <c r="E2267" s="1004"/>
      <c r="F2267" s="10"/>
      <c r="G2267" s="46"/>
    </row>
    <row r="2268" spans="1:7" s="111" customFormat="1">
      <c r="A2268" s="10"/>
      <c r="B2268" s="10"/>
      <c r="C2268" s="10"/>
      <c r="D2268" s="10"/>
      <c r="E2268" s="1004"/>
      <c r="F2268" s="10"/>
      <c r="G2268" s="46"/>
    </row>
    <row r="2269" spans="1:7" s="111" customFormat="1">
      <c r="A2269" s="10"/>
      <c r="B2269" s="10"/>
      <c r="C2269" s="10"/>
      <c r="D2269" s="10"/>
      <c r="E2269" s="1004"/>
      <c r="F2269" s="10"/>
      <c r="G2269" s="46"/>
    </row>
    <row r="2270" spans="1:7" s="111" customFormat="1">
      <c r="A2270" s="10"/>
      <c r="B2270" s="10"/>
      <c r="C2270" s="10"/>
      <c r="D2270" s="10"/>
      <c r="E2270" s="1004"/>
      <c r="F2270" s="10"/>
      <c r="G2270" s="46"/>
    </row>
    <row r="2271" spans="1:7" s="111" customFormat="1">
      <c r="A2271" s="10"/>
      <c r="B2271" s="10"/>
      <c r="C2271" s="10"/>
      <c r="D2271" s="10"/>
      <c r="E2271" s="1004"/>
      <c r="F2271" s="10"/>
      <c r="G2271" s="46"/>
    </row>
    <row r="2272" spans="1:7" s="111" customFormat="1">
      <c r="A2272" s="10"/>
      <c r="B2272" s="10"/>
      <c r="C2272" s="10"/>
      <c r="D2272" s="10"/>
      <c r="E2272" s="1004"/>
      <c r="F2272" s="10"/>
      <c r="G2272" s="46"/>
    </row>
    <row r="2273" spans="1:7" s="111" customFormat="1">
      <c r="A2273" s="10"/>
      <c r="B2273" s="10"/>
      <c r="C2273" s="10"/>
      <c r="D2273" s="10"/>
      <c r="E2273" s="1004"/>
      <c r="F2273" s="10"/>
      <c r="G2273" s="46"/>
    </row>
    <row r="2274" spans="1:7" s="111" customFormat="1">
      <c r="A2274" s="10"/>
      <c r="B2274" s="10"/>
      <c r="C2274" s="10"/>
      <c r="D2274" s="10"/>
      <c r="E2274" s="1004"/>
      <c r="F2274" s="10"/>
      <c r="G2274" s="46"/>
    </row>
    <row r="2275" spans="1:7" s="111" customFormat="1" ht="15.75" thickBot="1">
      <c r="A2275" s="1601" t="s">
        <v>1028</v>
      </c>
      <c r="B2275" s="1601"/>
      <c r="C2275" s="1602"/>
      <c r="D2275" s="1603"/>
      <c r="E2275" s="1602"/>
      <c r="F2275" s="1602"/>
      <c r="G2275" s="1602"/>
    </row>
    <row r="2276" spans="1:7" s="111" customFormat="1" ht="15" thickTop="1">
      <c r="A2276" s="1797" t="s">
        <v>275</v>
      </c>
      <c r="B2276" s="1799" t="s">
        <v>295</v>
      </c>
      <c r="C2276" s="1799" t="s">
        <v>276</v>
      </c>
      <c r="D2276" s="1799" t="s">
        <v>277</v>
      </c>
      <c r="E2276" s="1801" t="s">
        <v>278</v>
      </c>
      <c r="F2276" s="916" t="s">
        <v>279</v>
      </c>
      <c r="G2276" s="916" t="s">
        <v>280</v>
      </c>
    </row>
    <row r="2277" spans="1:7" s="111" customFormat="1">
      <c r="A2277" s="1798"/>
      <c r="B2277" s="1800"/>
      <c r="C2277" s="1800"/>
      <c r="D2277" s="1800"/>
      <c r="E2277" s="1802"/>
      <c r="F2277" s="917" t="s">
        <v>67</v>
      </c>
      <c r="G2277" s="917" t="s">
        <v>67</v>
      </c>
    </row>
    <row r="2278" spans="1:7" s="111" customFormat="1">
      <c r="A2278" s="1203" t="s">
        <v>262</v>
      </c>
      <c r="B2278" s="1604" t="s">
        <v>631</v>
      </c>
      <c r="C2278" s="1604"/>
      <c r="D2278" s="1203"/>
      <c r="E2278" s="1605"/>
      <c r="F2278" s="1606"/>
      <c r="G2278" s="1607"/>
    </row>
    <row r="2279" spans="1:7" s="111" customFormat="1">
      <c r="A2279" s="1189"/>
      <c r="B2279" s="1608" t="s">
        <v>69</v>
      </c>
      <c r="C2279" s="1608" t="s">
        <v>70</v>
      </c>
      <c r="D2279" s="1189" t="s">
        <v>992</v>
      </c>
      <c r="E2279" s="1609">
        <v>0.25240000000000001</v>
      </c>
      <c r="F2279" s="1295">
        <f>F2251</f>
        <v>130000</v>
      </c>
      <c r="G2279" s="1295">
        <f>E2279*F2279</f>
        <v>32812</v>
      </c>
    </row>
    <row r="2280" spans="1:7" s="111" customFormat="1">
      <c r="A2280" s="1189"/>
      <c r="B2280" s="1608" t="s">
        <v>54</v>
      </c>
      <c r="C2280" s="1608" t="s">
        <v>72</v>
      </c>
      <c r="D2280" s="1189" t="s">
        <v>992</v>
      </c>
      <c r="E2280" s="1609">
        <v>0.25240000000000001</v>
      </c>
      <c r="F2280" s="1295">
        <f>F2252</f>
        <v>140000</v>
      </c>
      <c r="G2280" s="1295">
        <f>E2280*F2280</f>
        <v>35336</v>
      </c>
    </row>
    <row r="2281" spans="1:7" s="111" customFormat="1">
      <c r="A2281" s="1194"/>
      <c r="B2281" s="1610" t="s">
        <v>50</v>
      </c>
      <c r="C2281" s="1610" t="s">
        <v>75</v>
      </c>
      <c r="D2281" s="1194" t="s">
        <v>992</v>
      </c>
      <c r="E2281" s="1611">
        <v>1.26E-2</v>
      </c>
      <c r="F2281" s="1295">
        <f>F2253</f>
        <v>170000</v>
      </c>
      <c r="G2281" s="1299">
        <f>E2281*F2281</f>
        <v>2142</v>
      </c>
    </row>
    <row r="2282" spans="1:7" s="111" customFormat="1" ht="15">
      <c r="A2282" s="1197" t="s">
        <v>632</v>
      </c>
      <c r="B2282" s="1198"/>
      <c r="C2282" s="1198"/>
      <c r="D2282" s="1199"/>
      <c r="E2282" s="1198"/>
      <c r="F2282" s="1304"/>
      <c r="G2282" s="1305">
        <f>SUM(G2279:G2281)</f>
        <v>70290</v>
      </c>
    </row>
    <row r="2283" spans="1:7" s="111" customFormat="1">
      <c r="A2283" s="1203" t="s">
        <v>263</v>
      </c>
      <c r="B2283" s="1604" t="s">
        <v>299</v>
      </c>
      <c r="C2283" s="1604"/>
      <c r="D2283" s="1203"/>
      <c r="E2283" s="1605"/>
      <c r="F2283" s="1612"/>
      <c r="G2283" s="1613"/>
    </row>
    <row r="2284" spans="1:7" s="111" customFormat="1">
      <c r="A2284" s="1189"/>
      <c r="B2284" s="1608" t="s">
        <v>1055</v>
      </c>
      <c r="C2284" s="1608"/>
      <c r="D2284" s="1189" t="s">
        <v>270</v>
      </c>
      <c r="E2284" s="1609">
        <v>4.9500000000000002E-2</v>
      </c>
      <c r="F2284" s="1295">
        <f>F2256</f>
        <v>1030011.9088492064</v>
      </c>
      <c r="G2284" s="1295">
        <f t="shared" ref="G2284:G2287" si="198">E2284*F2284</f>
        <v>50985.589488035723</v>
      </c>
    </row>
    <row r="2285" spans="1:7" s="111" customFormat="1">
      <c r="A2285" s="1189"/>
      <c r="B2285" s="1608" t="s">
        <v>993</v>
      </c>
      <c r="C2285" s="1608"/>
      <c r="D2285" s="1189" t="s">
        <v>270</v>
      </c>
      <c r="E2285" s="1609">
        <v>9.9000000000000005E-2</v>
      </c>
      <c r="F2285" s="1295">
        <f>F2257</f>
        <v>289050</v>
      </c>
      <c r="G2285" s="1295">
        <f t="shared" si="198"/>
        <v>28615.95</v>
      </c>
    </row>
    <row r="2286" spans="1:7" s="111" customFormat="1">
      <c r="A2286" s="1189"/>
      <c r="B2286" s="1626" t="s">
        <v>1032</v>
      </c>
      <c r="C2286" s="1627"/>
      <c r="D2286" s="1189" t="s">
        <v>291</v>
      </c>
      <c r="E2286" s="1628">
        <f t="shared" ref="E2286" si="199">1/1.2</f>
        <v>0.83333333333333337</v>
      </c>
      <c r="F2286" s="1295">
        <f>F2258</f>
        <v>424000</v>
      </c>
      <c r="G2286" s="1295">
        <f t="shared" ref="G2286" si="200">E2286*F2286</f>
        <v>353333.33333333337</v>
      </c>
    </row>
    <row r="2287" spans="1:7" s="111" customFormat="1">
      <c r="A2287" s="1194"/>
      <c r="B2287" s="1614" t="s">
        <v>1035</v>
      </c>
      <c r="C2287" s="1615"/>
      <c r="D2287" s="1194" t="s">
        <v>291</v>
      </c>
      <c r="E2287" s="1616">
        <f>1/0.6</f>
        <v>1.6666666666666667</v>
      </c>
      <c r="F2287" s="1299">
        <f>Bahan!E312</f>
        <v>125000</v>
      </c>
      <c r="G2287" s="1299">
        <f t="shared" si="198"/>
        <v>208333.33333333334</v>
      </c>
    </row>
    <row r="2288" spans="1:7" s="111" customFormat="1" ht="15">
      <c r="A2288" s="1197" t="s">
        <v>642</v>
      </c>
      <c r="B2288" s="1198"/>
      <c r="C2288" s="1198"/>
      <c r="D2288" s="1199"/>
      <c r="E2288" s="1198"/>
      <c r="F2288" s="1304"/>
      <c r="G2288" s="1305">
        <f>SUM(G2284:G2287)</f>
        <v>641268.20615470246</v>
      </c>
    </row>
    <row r="2289" spans="1:7" s="111" customFormat="1">
      <c r="A2289" s="1203" t="s">
        <v>264</v>
      </c>
      <c r="B2289" s="1604" t="s">
        <v>250</v>
      </c>
      <c r="C2289" s="1604"/>
      <c r="D2289" s="1203"/>
      <c r="E2289" s="1605"/>
      <c r="F2289" s="1612"/>
      <c r="G2289" s="1613"/>
    </row>
    <row r="2290" spans="1:7" s="111" customFormat="1">
      <c r="A2290" s="1194"/>
      <c r="B2290" s="1610" t="s">
        <v>994</v>
      </c>
      <c r="C2290" s="1615"/>
      <c r="D2290" s="1194" t="s">
        <v>995</v>
      </c>
      <c r="E2290" s="1616">
        <v>0.25240000000000001</v>
      </c>
      <c r="F2290" s="1295">
        <f>F2261</f>
        <v>529159.02</v>
      </c>
      <c r="G2290" s="1299">
        <f t="shared" ref="G2290" si="201">E2290*F2290</f>
        <v>133559.73664800002</v>
      </c>
    </row>
    <row r="2291" spans="1:7" s="111" customFormat="1" ht="15">
      <c r="A2291" s="1197" t="s">
        <v>287</v>
      </c>
      <c r="B2291" s="1198"/>
      <c r="C2291" s="1198"/>
      <c r="D2291" s="1199"/>
      <c r="E2291" s="1198"/>
      <c r="F2291" s="1304"/>
      <c r="G2291" s="1305">
        <f>SUM(G2290)</f>
        <v>133559.73664800002</v>
      </c>
    </row>
    <row r="2292" spans="1:7" s="111" customFormat="1">
      <c r="A2292" s="1208" t="s">
        <v>281</v>
      </c>
      <c r="B2292" s="1211" t="s">
        <v>292</v>
      </c>
      <c r="C2292" s="1617"/>
      <c r="D2292" s="1618"/>
      <c r="E2292" s="1617"/>
      <c r="F2292" s="1619"/>
      <c r="G2292" s="1325">
        <f>G2282+G2288+G2291</f>
        <v>845117.94280270254</v>
      </c>
    </row>
    <row r="2293" spans="1:7" s="111" customFormat="1">
      <c r="A2293" s="1213" t="s">
        <v>90</v>
      </c>
      <c r="B2293" s="1214" t="s">
        <v>293</v>
      </c>
      <c r="C2293" s="1620"/>
      <c r="D2293" s="1621"/>
      <c r="E2293" s="970">
        <f>$I$2</f>
        <v>0.1</v>
      </c>
      <c r="F2293" s="967"/>
      <c r="G2293" s="1622">
        <f>+G2292*E2293</f>
        <v>84511.79428027026</v>
      </c>
    </row>
    <row r="2294" spans="1:7" s="111" customFormat="1" ht="15">
      <c r="A2294" s="1217" t="s">
        <v>94</v>
      </c>
      <c r="B2294" s="1221" t="s">
        <v>86</v>
      </c>
      <c r="C2294" s="1623"/>
      <c r="D2294" s="1624"/>
      <c r="E2294" s="1623"/>
      <c r="F2294" s="1623"/>
      <c r="G2294" s="1335">
        <f>G2292+G2293</f>
        <v>929629.73708297277</v>
      </c>
    </row>
    <row r="2295" spans="1:7" s="111" customFormat="1">
      <c r="A2295" s="10"/>
      <c r="B2295" s="10"/>
      <c r="C2295" s="10"/>
      <c r="D2295" s="10"/>
      <c r="E2295" s="1004"/>
      <c r="F2295" s="10"/>
      <c r="G2295" s="46"/>
    </row>
    <row r="2296" spans="1:7" s="111" customFormat="1" ht="15" thickBot="1">
      <c r="A2296" s="10" t="s">
        <v>1025</v>
      </c>
      <c r="B2296" s="10"/>
      <c r="C2296" s="10"/>
      <c r="D2296" s="10"/>
      <c r="E2296" s="1004"/>
      <c r="F2296" s="10"/>
      <c r="G2296" s="46"/>
    </row>
    <row r="2297" spans="1:7" s="111" customFormat="1" ht="15" thickTop="1">
      <c r="A2297" s="1797" t="s">
        <v>275</v>
      </c>
      <c r="B2297" s="1799" t="s">
        <v>295</v>
      </c>
      <c r="C2297" s="1799" t="s">
        <v>276</v>
      </c>
      <c r="D2297" s="1799" t="s">
        <v>277</v>
      </c>
      <c r="E2297" s="1801" t="s">
        <v>865</v>
      </c>
      <c r="F2297" s="916" t="s">
        <v>279</v>
      </c>
      <c r="G2297" s="916" t="s">
        <v>280</v>
      </c>
    </row>
    <row r="2298" spans="1:7" s="111" customFormat="1">
      <c r="A2298" s="1798"/>
      <c r="B2298" s="1800"/>
      <c r="C2298" s="1800"/>
      <c r="D2298" s="1800"/>
      <c r="E2298" s="1802"/>
      <c r="F2298" s="917" t="s">
        <v>67</v>
      </c>
      <c r="G2298" s="917" t="s">
        <v>67</v>
      </c>
    </row>
    <row r="2299" spans="1:7" s="111" customFormat="1">
      <c r="A2299" s="918"/>
      <c r="B2299" s="923" t="s">
        <v>991</v>
      </c>
      <c r="C2299" s="924"/>
      <c r="D2299" s="924" t="str">
        <f>D2236</f>
        <v>M³</v>
      </c>
      <c r="E2299" s="1155">
        <f>0.8*0.8*1</f>
        <v>0.64000000000000012</v>
      </c>
      <c r="F2299" s="926">
        <f>G34</f>
        <v>198597</v>
      </c>
      <c r="G2299" s="926">
        <f>+F2299*E2299</f>
        <v>127102.08000000003</v>
      </c>
    </row>
    <row r="2300" spans="1:7" s="111" customFormat="1">
      <c r="A2300" s="918"/>
      <c r="B2300" s="1164" t="s">
        <v>1000</v>
      </c>
      <c r="C2300" s="993"/>
      <c r="D2300" s="993" t="str">
        <f>D2237</f>
        <v>M³</v>
      </c>
      <c r="E2300" s="1155">
        <f>E2299</f>
        <v>0.64000000000000012</v>
      </c>
      <c r="F2300" s="995">
        <f>G405</f>
        <v>880754.61904761905</v>
      </c>
      <c r="G2300" s="926">
        <f t="shared" ref="G2300:G2301" si="202">+F2300*E2300</f>
        <v>563682.95619047631</v>
      </c>
    </row>
    <row r="2301" spans="1:7" s="111" customFormat="1">
      <c r="A2301" s="918"/>
      <c r="B2301" s="923" t="s">
        <v>1001</v>
      </c>
      <c r="C2301" s="993"/>
      <c r="D2301" s="993" t="s">
        <v>357</v>
      </c>
      <c r="E2301" s="1155">
        <f>0.7*4*1</f>
        <v>2.8</v>
      </c>
      <c r="F2301" s="995">
        <f>'Rek Anal'!E175</f>
        <v>1166826.2100000002</v>
      </c>
      <c r="G2301" s="926">
        <f t="shared" si="202"/>
        <v>3267113.3880000003</v>
      </c>
    </row>
    <row r="2302" spans="1:7" s="111" customFormat="1">
      <c r="A2302" s="918"/>
      <c r="B2302" s="923" t="s">
        <v>1002</v>
      </c>
      <c r="C2302" s="927"/>
      <c r="D2302" s="927" t="str">
        <f>D2300</f>
        <v>M³</v>
      </c>
      <c r="E2302" s="1156">
        <v>2.8E-3</v>
      </c>
      <c r="F2302" s="929">
        <f>F2300</f>
        <v>880754.61904761905</v>
      </c>
      <c r="G2302" s="929">
        <f>+F2302*E2302</f>
        <v>2466.1129333333333</v>
      </c>
    </row>
    <row r="2303" spans="1:7" s="111" customFormat="1">
      <c r="A2303" s="1629"/>
      <c r="B2303" s="1167" t="s">
        <v>1004</v>
      </c>
      <c r="C2303" s="1168"/>
      <c r="D2303" s="1168" t="s">
        <v>372</v>
      </c>
      <c r="E2303" s="1169">
        <v>2</v>
      </c>
      <c r="F2303" s="926">
        <f>G2023</f>
        <v>283897.25</v>
      </c>
      <c r="G2303" s="926">
        <f t="shared" ref="G2303" si="203">+F2303*E2303</f>
        <v>567794.5</v>
      </c>
    </row>
    <row r="2304" spans="1:7" s="111" customFormat="1">
      <c r="A2304" s="1170"/>
      <c r="B2304" s="1167" t="s">
        <v>1003</v>
      </c>
      <c r="C2304" s="1168"/>
      <c r="D2304" s="1168" t="s">
        <v>372</v>
      </c>
      <c r="E2304" s="1169">
        <v>2.5</v>
      </c>
      <c r="F2304" s="926">
        <f>G2043</f>
        <v>426023.25</v>
      </c>
      <c r="G2304" s="926">
        <f t="shared" ref="G2304:G2305" si="204">+F2304*E2304</f>
        <v>1065058.125</v>
      </c>
    </row>
    <row r="2305" spans="1:11" s="111" customFormat="1">
      <c r="A2305" s="1161"/>
      <c r="B2305" s="923" t="s">
        <v>1010</v>
      </c>
      <c r="C2305" s="1172"/>
      <c r="D2305" s="1172" t="str">
        <f>D2304</f>
        <v>M¹</v>
      </c>
      <c r="E2305" s="1173">
        <f>(1.75+0.9)*2+3</f>
        <v>8.3000000000000007</v>
      </c>
      <c r="F2305" s="926">
        <f>G2073</f>
        <v>584189.125</v>
      </c>
      <c r="G2305" s="926">
        <f t="shared" si="204"/>
        <v>4848769.7375000007</v>
      </c>
    </row>
    <row r="2306" spans="1:11" s="111" customFormat="1">
      <c r="A2306" s="960"/>
      <c r="B2306" s="961"/>
      <c r="C2306" s="962"/>
      <c r="D2306" s="941"/>
      <c r="E2306" s="942"/>
      <c r="F2306" s="943"/>
      <c r="G2306" s="944">
        <v>0</v>
      </c>
    </row>
    <row r="2307" spans="1:11" s="111" customFormat="1">
      <c r="A2307" s="963" t="s">
        <v>83</v>
      </c>
      <c r="B2307" s="964" t="s">
        <v>292</v>
      </c>
      <c r="C2307" s="965"/>
      <c r="D2307" s="915"/>
      <c r="E2307" s="966"/>
      <c r="F2307" s="967"/>
      <c r="G2307" s="968">
        <f>SUM(G2299:G2306)</f>
        <v>10441986.899623811</v>
      </c>
    </row>
    <row r="2308" spans="1:11" s="111" customFormat="1">
      <c r="A2308" s="963" t="s">
        <v>84</v>
      </c>
      <c r="B2308" s="969" t="s">
        <v>293</v>
      </c>
      <c r="C2308" s="912"/>
      <c r="D2308" s="915"/>
      <c r="E2308" s="970">
        <f>$I$2</f>
        <v>0.1</v>
      </c>
      <c r="F2308" s="967"/>
      <c r="G2308" s="1622">
        <f>+G2307*E2308</f>
        <v>1044198.6899623811</v>
      </c>
    </row>
    <row r="2309" spans="1:11" s="111" customFormat="1" ht="15" thickBot="1">
      <c r="A2309" s="971" t="s">
        <v>85</v>
      </c>
      <c r="B2309" s="972" t="s">
        <v>86</v>
      </c>
      <c r="C2309" s="973"/>
      <c r="D2309" s="973"/>
      <c r="E2309" s="974"/>
      <c r="F2309" s="975"/>
      <c r="G2309" s="976">
        <f>+G2308+G2307</f>
        <v>11486185.589586193</v>
      </c>
    </row>
    <row r="2310" spans="1:11" s="111" customFormat="1" ht="15" thickTop="1">
      <c r="A2310" s="10"/>
      <c r="B2310" s="10"/>
      <c r="C2310" s="10"/>
      <c r="D2310" s="10"/>
      <c r="E2310" s="1004"/>
      <c r="F2310" s="10"/>
      <c r="G2310" s="46"/>
    </row>
    <row r="2311" spans="1:11" s="111" customFormat="1" ht="15" thickBot="1">
      <c r="A2311" s="10" t="s">
        <v>1026</v>
      </c>
      <c r="B2311" s="10"/>
      <c r="C2311" s="10"/>
      <c r="D2311" s="10"/>
      <c r="E2311" s="1004"/>
      <c r="F2311" s="10"/>
      <c r="G2311" s="46"/>
    </row>
    <row r="2312" spans="1:11" s="111" customFormat="1" ht="15" thickTop="1">
      <c r="A2312" s="1797" t="s">
        <v>275</v>
      </c>
      <c r="B2312" s="1799" t="s">
        <v>295</v>
      </c>
      <c r="C2312" s="1799" t="s">
        <v>276</v>
      </c>
      <c r="D2312" s="1799" t="s">
        <v>277</v>
      </c>
      <c r="E2312" s="1801" t="s">
        <v>865</v>
      </c>
      <c r="F2312" s="916" t="s">
        <v>279</v>
      </c>
      <c r="G2312" s="916" t="s">
        <v>280</v>
      </c>
    </row>
    <row r="2313" spans="1:11" s="111" customFormat="1">
      <c r="A2313" s="1798"/>
      <c r="B2313" s="1800"/>
      <c r="C2313" s="1800"/>
      <c r="D2313" s="1800"/>
      <c r="E2313" s="1802"/>
      <c r="F2313" s="917" t="s">
        <v>67</v>
      </c>
      <c r="G2313" s="917" t="s">
        <v>67</v>
      </c>
      <c r="I2313" s="10" t="s">
        <v>1022</v>
      </c>
      <c r="J2313" s="111">
        <v>0.64</v>
      </c>
      <c r="K2313" s="111">
        <v>13</v>
      </c>
    </row>
    <row r="2314" spans="1:11" s="111" customFormat="1">
      <c r="A2314" s="918"/>
      <c r="B2314" s="923" t="s">
        <v>991</v>
      </c>
      <c r="C2314" s="924"/>
      <c r="D2314" s="924" t="str">
        <f>D2299</f>
        <v>M³</v>
      </c>
      <c r="E2314" s="1155">
        <f>10.2*0.8*0.7</f>
        <v>5.7119999999999997</v>
      </c>
      <c r="F2314" s="926">
        <f>F2299</f>
        <v>198597</v>
      </c>
      <c r="G2314" s="926">
        <f>+F2314*E2314</f>
        <v>1134386.064</v>
      </c>
      <c r="J2314" s="111">
        <v>0.28999999999999998</v>
      </c>
      <c r="K2314" s="111">
        <v>5</v>
      </c>
    </row>
    <row r="2315" spans="1:11" s="111" customFormat="1">
      <c r="A2315" s="918"/>
      <c r="B2315" s="1164" t="s">
        <v>1000</v>
      </c>
      <c r="C2315" s="993"/>
      <c r="D2315" s="993" t="str">
        <f>D2314</f>
        <v>M³</v>
      </c>
      <c r="E2315" s="1155">
        <f>E2314</f>
        <v>5.7119999999999997</v>
      </c>
      <c r="F2315" s="926">
        <f>F2300</f>
        <v>880754.61904761905</v>
      </c>
      <c r="G2315" s="926">
        <f t="shared" ref="G2315:G2316" si="205">+F2315*E2315</f>
        <v>5030870.3839999996</v>
      </c>
      <c r="J2315" s="111">
        <v>0.78</v>
      </c>
      <c r="K2315" s="111">
        <v>3</v>
      </c>
    </row>
    <row r="2316" spans="1:11" s="111" customFormat="1">
      <c r="A2316" s="918"/>
      <c r="B2316" s="923" t="s">
        <v>1001</v>
      </c>
      <c r="C2316" s="993"/>
      <c r="D2316" s="993" t="s">
        <v>357</v>
      </c>
      <c r="E2316" s="1155">
        <f>(10+0.8)*2*0.56+0.16*8*0.17+(10+0.5)*2*1.4+0.12*8*0.29</f>
        <v>41.991999999999997</v>
      </c>
      <c r="F2316" s="995">
        <f>F2301</f>
        <v>1166826.2100000002</v>
      </c>
      <c r="G2316" s="926">
        <f t="shared" si="205"/>
        <v>48997366.210320003</v>
      </c>
      <c r="J2316" s="111">
        <v>1.1100000000000001</v>
      </c>
      <c r="K2316" s="111">
        <v>2</v>
      </c>
    </row>
    <row r="2317" spans="1:11" s="111" customFormat="1">
      <c r="A2317" s="918"/>
      <c r="B2317" s="923" t="s">
        <v>1002</v>
      </c>
      <c r="C2317" s="927"/>
      <c r="D2317" s="927" t="str">
        <f>D2315</f>
        <v>M³</v>
      </c>
      <c r="E2317" s="1156">
        <f>10*0.6*0.56+9.7*0.2*1.35</f>
        <v>5.979000000000001</v>
      </c>
      <c r="F2317" s="929">
        <f>F2302</f>
        <v>880754.61904761905</v>
      </c>
      <c r="G2317" s="929">
        <f>+F2317*E2317</f>
        <v>5266031.8672857154</v>
      </c>
      <c r="K2317" s="111">
        <f>SUM(K2313:K2316)</f>
        <v>23</v>
      </c>
    </row>
    <row r="2318" spans="1:11" s="111" customFormat="1">
      <c r="A2318" s="1170"/>
      <c r="B2318" s="1167" t="s">
        <v>1021</v>
      </c>
      <c r="C2318" s="1168"/>
      <c r="D2318" s="1168" t="s">
        <v>372</v>
      </c>
      <c r="E2318" s="1169">
        <f>8.6*4+2.5*6</f>
        <v>49.4</v>
      </c>
      <c r="F2318" s="926">
        <f>Upah!F40</f>
        <v>100000</v>
      </c>
      <c r="G2318" s="926">
        <f t="shared" ref="G2318:G2319" si="206">+F2318*E2318</f>
        <v>4940000</v>
      </c>
      <c r="I2318" s="10">
        <f>300000/6</f>
        <v>50000</v>
      </c>
    </row>
    <row r="2319" spans="1:11" s="111" customFormat="1">
      <c r="A2319" s="1161"/>
      <c r="B2319" s="1167" t="s">
        <v>1023</v>
      </c>
      <c r="C2319" s="1168"/>
      <c r="D2319" s="1168" t="s">
        <v>372</v>
      </c>
      <c r="E2319" s="1169">
        <v>1</v>
      </c>
      <c r="F2319" s="926">
        <f>Upah!F41</f>
        <v>9270000</v>
      </c>
      <c r="G2319" s="926">
        <f t="shared" si="206"/>
        <v>9270000</v>
      </c>
    </row>
    <row r="2320" spans="1:11" s="111" customFormat="1">
      <c r="A2320" s="960"/>
      <c r="B2320" s="961"/>
      <c r="C2320" s="962"/>
      <c r="D2320" s="941"/>
      <c r="E2320" s="942"/>
      <c r="F2320" s="943"/>
      <c r="G2320" s="944">
        <v>0</v>
      </c>
    </row>
    <row r="2321" spans="1:7" s="111" customFormat="1">
      <c r="A2321" s="963" t="s">
        <v>83</v>
      </c>
      <c r="B2321" s="964" t="s">
        <v>292</v>
      </c>
      <c r="C2321" s="965"/>
      <c r="D2321" s="915"/>
      <c r="E2321" s="966"/>
      <c r="F2321" s="967"/>
      <c r="G2321" s="968">
        <f>SUM(G2314:G2320)</f>
        <v>74638654.525605708</v>
      </c>
    </row>
    <row r="2322" spans="1:7" s="111" customFormat="1">
      <c r="A2322" s="963" t="s">
        <v>84</v>
      </c>
      <c r="B2322" s="969" t="s">
        <v>293</v>
      </c>
      <c r="C2322" s="912"/>
      <c r="D2322" s="915"/>
      <c r="E2322" s="970">
        <f>$I$2</f>
        <v>0.1</v>
      </c>
      <c r="F2322" s="967"/>
      <c r="G2322" s="1622">
        <f>+G2321*E2322</f>
        <v>7463865.452560571</v>
      </c>
    </row>
    <row r="2323" spans="1:7" s="111" customFormat="1" ht="15" thickBot="1">
      <c r="A2323" s="971" t="s">
        <v>85</v>
      </c>
      <c r="B2323" s="972" t="s">
        <v>86</v>
      </c>
      <c r="C2323" s="973"/>
      <c r="D2323" s="973"/>
      <c r="E2323" s="974"/>
      <c r="F2323" s="975"/>
      <c r="G2323" s="976">
        <f>+G2322+G2321</f>
        <v>82102519.978166282</v>
      </c>
    </row>
    <row r="2324" spans="1:7" s="111" customFormat="1" ht="15" thickTop="1">
      <c r="A2324" s="10"/>
      <c r="B2324" s="10"/>
      <c r="C2324" s="10"/>
      <c r="D2324" s="10"/>
      <c r="E2324" s="1004"/>
      <c r="F2324" s="10"/>
      <c r="G2324" s="46"/>
    </row>
    <row r="2325" spans="1:7" s="111" customFormat="1">
      <c r="A2325" s="10"/>
      <c r="B2325" s="10"/>
      <c r="C2325" s="10"/>
      <c r="D2325" s="10"/>
      <c r="E2325" s="1004"/>
      <c r="F2325" s="10"/>
      <c r="G2325" s="46"/>
    </row>
    <row r="2326" spans="1:7" s="111" customFormat="1">
      <c r="A2326" s="10"/>
      <c r="B2326" s="10"/>
      <c r="C2326" s="10"/>
      <c r="D2326" s="10"/>
      <c r="E2326" s="1004"/>
      <c r="F2326" s="10"/>
      <c r="G2326" s="46"/>
    </row>
    <row r="2327" spans="1:7" s="111" customFormat="1">
      <c r="A2327" s="10"/>
      <c r="B2327" s="10"/>
      <c r="C2327" s="10"/>
      <c r="D2327" s="10"/>
      <c r="E2327" s="1004"/>
      <c r="F2327" s="10"/>
      <c r="G2327" s="46"/>
    </row>
    <row r="2328" spans="1:7" s="111" customFormat="1">
      <c r="A2328" s="10"/>
      <c r="B2328" s="10"/>
      <c r="C2328" s="10"/>
      <c r="D2328" s="10"/>
      <c r="E2328" s="1004"/>
      <c r="F2328" s="10"/>
      <c r="G2328" s="46"/>
    </row>
    <row r="2329" spans="1:7" s="111" customFormat="1">
      <c r="A2329" s="10"/>
      <c r="B2329" s="10"/>
      <c r="C2329" s="10"/>
      <c r="D2329" s="10"/>
      <c r="E2329" s="1004"/>
      <c r="F2329" s="10"/>
      <c r="G2329" s="46"/>
    </row>
    <row r="2330" spans="1:7" s="111" customFormat="1">
      <c r="A2330" s="10"/>
      <c r="B2330" s="10"/>
      <c r="C2330" s="10"/>
      <c r="D2330" s="10"/>
      <c r="E2330" s="1004"/>
      <c r="F2330" s="10"/>
      <c r="G2330" s="46"/>
    </row>
    <row r="2331" spans="1:7" s="111" customFormat="1">
      <c r="A2331" s="10"/>
      <c r="B2331" s="10"/>
      <c r="C2331" s="10"/>
      <c r="D2331" s="10"/>
      <c r="E2331" s="1004"/>
      <c r="F2331" s="10"/>
      <c r="G2331" s="46"/>
    </row>
    <row r="2332" spans="1:7" s="111" customFormat="1">
      <c r="A2332" s="10"/>
      <c r="B2332" s="10"/>
      <c r="C2332" s="10"/>
      <c r="D2332" s="10"/>
      <c r="E2332" s="1004"/>
      <c r="F2332" s="10"/>
      <c r="G2332" s="46"/>
    </row>
    <row r="2333" spans="1:7" s="111" customFormat="1">
      <c r="A2333" s="10"/>
      <c r="B2333" s="10"/>
      <c r="C2333" s="10"/>
      <c r="D2333" s="10"/>
      <c r="E2333" s="1004"/>
      <c r="F2333" s="10"/>
      <c r="G2333" s="46"/>
    </row>
    <row r="2334" spans="1:7" s="111" customFormat="1">
      <c r="A2334" s="10"/>
      <c r="B2334" s="10"/>
      <c r="C2334" s="10"/>
      <c r="D2334" s="10"/>
      <c r="E2334" s="1004"/>
      <c r="F2334" s="10"/>
      <c r="G2334" s="46"/>
    </row>
    <row r="2335" spans="1:7" s="111" customFormat="1">
      <c r="A2335" s="10"/>
      <c r="B2335" s="10"/>
      <c r="C2335" s="10"/>
      <c r="D2335" s="10"/>
      <c r="E2335" s="1004"/>
      <c r="F2335" s="10"/>
      <c r="G2335" s="46"/>
    </row>
    <row r="2336" spans="1:7" s="111" customFormat="1">
      <c r="A2336" s="10"/>
      <c r="B2336" s="10"/>
      <c r="C2336" s="10"/>
      <c r="D2336" s="10"/>
      <c r="E2336" s="1004"/>
      <c r="F2336" s="10"/>
      <c r="G2336" s="46"/>
    </row>
    <row r="2337" spans="1:9" s="111" customFormat="1">
      <c r="A2337" s="10"/>
      <c r="B2337" s="10"/>
      <c r="C2337" s="10"/>
      <c r="D2337" s="10"/>
      <c r="E2337" s="1004"/>
      <c r="F2337" s="10"/>
      <c r="G2337" s="46"/>
    </row>
    <row r="2338" spans="1:9" s="111" customFormat="1">
      <c r="A2338" s="10"/>
      <c r="B2338" s="10"/>
      <c r="C2338" s="10"/>
      <c r="D2338" s="10"/>
      <c r="E2338" s="1004"/>
      <c r="F2338" s="10"/>
      <c r="G2338" s="46"/>
    </row>
    <row r="2339" spans="1:9" s="111" customFormat="1">
      <c r="A2339" s="10"/>
      <c r="B2339" s="10"/>
      <c r="C2339" s="10"/>
      <c r="D2339" s="10"/>
      <c r="E2339" s="1004"/>
      <c r="F2339" s="10"/>
      <c r="G2339" s="46"/>
    </row>
    <row r="2340" spans="1:9" s="111" customFormat="1">
      <c r="A2340" s="10"/>
      <c r="B2340" s="10"/>
      <c r="C2340" s="10"/>
      <c r="D2340" s="10"/>
      <c r="E2340" s="1004"/>
      <c r="F2340" s="10"/>
      <c r="G2340" s="46"/>
    </row>
    <row r="2341" spans="1:9" s="111" customFormat="1">
      <c r="A2341" s="10"/>
      <c r="B2341" s="10"/>
      <c r="C2341" s="10"/>
      <c r="D2341" s="10"/>
      <c r="E2341" s="1004"/>
      <c r="F2341" s="10"/>
      <c r="G2341" s="46"/>
    </row>
    <row r="2342" spans="1:9" s="111" customFormat="1">
      <c r="A2342" s="10"/>
      <c r="B2342" s="10"/>
      <c r="C2342" s="10"/>
      <c r="D2342" s="10"/>
      <c r="E2342" s="1004"/>
      <c r="F2342" s="10"/>
      <c r="G2342" s="46"/>
    </row>
    <row r="2343" spans="1:9" s="111" customFormat="1">
      <c r="A2343" s="10"/>
      <c r="B2343" s="10"/>
      <c r="C2343" s="10"/>
      <c r="D2343" s="10"/>
      <c r="E2343" s="1004"/>
      <c r="F2343" s="10"/>
      <c r="G2343" s="46"/>
    </row>
    <row r="2344" spans="1:9" ht="15" thickBot="1">
      <c r="A2344" s="10" t="s">
        <v>1027</v>
      </c>
    </row>
    <row r="2345" spans="1:9" s="111" customFormat="1" ht="15" thickTop="1">
      <c r="A2345" s="1797" t="s">
        <v>275</v>
      </c>
      <c r="B2345" s="1799" t="s">
        <v>295</v>
      </c>
      <c r="C2345" s="1799" t="s">
        <v>276</v>
      </c>
      <c r="D2345" s="1799" t="s">
        <v>277</v>
      </c>
      <c r="E2345" s="1801" t="s">
        <v>865</v>
      </c>
      <c r="F2345" s="916" t="s">
        <v>279</v>
      </c>
      <c r="G2345" s="916" t="s">
        <v>280</v>
      </c>
    </row>
    <row r="2346" spans="1:9" s="111" customFormat="1">
      <c r="A2346" s="1798"/>
      <c r="B2346" s="1800"/>
      <c r="C2346" s="1800"/>
      <c r="D2346" s="1800"/>
      <c r="E2346" s="1802"/>
      <c r="F2346" s="917" t="s">
        <v>67</v>
      </c>
      <c r="G2346" s="917" t="s">
        <v>67</v>
      </c>
    </row>
    <row r="2347" spans="1:9" s="111" customFormat="1">
      <c r="A2347" s="918"/>
      <c r="B2347" s="923" t="s">
        <v>991</v>
      </c>
      <c r="C2347" s="924"/>
      <c r="D2347" s="924" t="str">
        <f>D2348</f>
        <v>M³</v>
      </c>
      <c r="E2347" s="1155">
        <f>0.4*0.4*0.4</f>
        <v>6.4000000000000015E-2</v>
      </c>
      <c r="F2347" s="926">
        <f>F2299</f>
        <v>198597</v>
      </c>
      <c r="G2347" s="926">
        <f>+F2347*E2347</f>
        <v>12710.208000000002</v>
      </c>
    </row>
    <row r="2348" spans="1:9" s="111" customFormat="1">
      <c r="A2348" s="918"/>
      <c r="B2348" s="1164" t="s">
        <v>1000</v>
      </c>
      <c r="C2348" s="993"/>
      <c r="D2348" s="993" t="str">
        <f>D2299</f>
        <v>M³</v>
      </c>
      <c r="E2348" s="1155">
        <f>E2347</f>
        <v>6.4000000000000015E-2</v>
      </c>
      <c r="F2348" s="995">
        <f>F2300</f>
        <v>880754.61904761905</v>
      </c>
      <c r="G2348" s="926">
        <f t="shared" ref="G2348:G2349" si="207">+F2348*E2348</f>
        <v>56368.295619047632</v>
      </c>
    </row>
    <row r="2349" spans="1:9" s="111" customFormat="1">
      <c r="A2349" s="918"/>
      <c r="B2349" s="923" t="s">
        <v>1001</v>
      </c>
      <c r="C2349" s="993"/>
      <c r="D2349" s="993" t="s">
        <v>357</v>
      </c>
      <c r="E2349" s="1155">
        <f>0.325*0.325*4+0.2*0.2</f>
        <v>0.46250000000000002</v>
      </c>
      <c r="F2349" s="995">
        <f>F2301</f>
        <v>1166826.2100000002</v>
      </c>
      <c r="G2349" s="926">
        <f t="shared" si="207"/>
        <v>539657.12212500011</v>
      </c>
      <c r="I2349" s="111">
        <f>0.25+0.4</f>
        <v>0.65</v>
      </c>
    </row>
    <row r="2350" spans="1:9" s="111" customFormat="1">
      <c r="A2350" s="918"/>
      <c r="B2350" s="923" t="s">
        <v>1002</v>
      </c>
      <c r="C2350" s="927"/>
      <c r="D2350" s="927" t="str">
        <f>D2348</f>
        <v>M³</v>
      </c>
      <c r="E2350" s="1156">
        <f>0.25*0.25*0.45</f>
        <v>2.8125000000000001E-2</v>
      </c>
      <c r="F2350" s="929">
        <f>F2302</f>
        <v>880754.61904761905</v>
      </c>
      <c r="G2350" s="929">
        <f>+F2350*E2350</f>
        <v>24771.223660714288</v>
      </c>
      <c r="I2350" s="111">
        <f>I2349/2</f>
        <v>0.32500000000000001</v>
      </c>
    </row>
    <row r="2351" spans="1:9" s="111" customFormat="1">
      <c r="A2351" s="1170"/>
      <c r="B2351" s="1167" t="s">
        <v>1019</v>
      </c>
      <c r="C2351" s="1168"/>
      <c r="D2351" s="1168" t="s">
        <v>372</v>
      </c>
      <c r="E2351" s="1169">
        <f>1.5+0.2</f>
        <v>1.7</v>
      </c>
      <c r="F2351" s="926">
        <f>G2003</f>
        <v>187794.625</v>
      </c>
      <c r="G2351" s="926">
        <f t="shared" ref="G2351:G2355" si="208">+F2351*E2351</f>
        <v>319250.86249999999</v>
      </c>
    </row>
    <row r="2352" spans="1:9" s="111" customFormat="1">
      <c r="A2352" s="1161"/>
      <c r="B2352" s="1167" t="s">
        <v>1004</v>
      </c>
      <c r="C2352" s="1168"/>
      <c r="D2352" s="1168" t="s">
        <v>372</v>
      </c>
      <c r="E2352" s="1169">
        <v>4</v>
      </c>
      <c r="F2352" s="926">
        <f>F2303</f>
        <v>283897.25</v>
      </c>
      <c r="G2352" s="926">
        <f t="shared" ref="G2352" si="209">+F2352*E2352</f>
        <v>1135589</v>
      </c>
    </row>
    <row r="2353" spans="1:10" s="111" customFormat="1">
      <c r="A2353" s="1161"/>
      <c r="B2353" s="1630" t="s">
        <v>1011</v>
      </c>
      <c r="C2353" s="1631"/>
      <c r="D2353" s="1631" t="s">
        <v>8</v>
      </c>
      <c r="E2353" s="1632">
        <v>1</v>
      </c>
      <c r="F2353" s="926">
        <f>G1738</f>
        <v>355065</v>
      </c>
      <c r="G2353" s="926">
        <f t="shared" ref="G2353" si="210">+F2353*E2353</f>
        <v>355065</v>
      </c>
    </row>
    <row r="2354" spans="1:10" s="111" customFormat="1">
      <c r="A2354" s="1161"/>
      <c r="B2354" s="1630" t="s">
        <v>1020</v>
      </c>
      <c r="C2354" s="1631"/>
      <c r="D2354" s="1631" t="s">
        <v>7</v>
      </c>
      <c r="E2354" s="1632">
        <v>1</v>
      </c>
      <c r="F2354" s="926">
        <f>Upah!F42</f>
        <v>562500</v>
      </c>
      <c r="G2354" s="926">
        <f t="shared" ref="G2354" si="211">+F2354*E2354</f>
        <v>562500</v>
      </c>
    </row>
    <row r="2355" spans="1:10" s="111" customFormat="1">
      <c r="A2355" s="1161"/>
      <c r="B2355" s="923" t="s">
        <v>1012</v>
      </c>
      <c r="C2355" s="1172"/>
      <c r="D2355" s="1172" t="s">
        <v>7</v>
      </c>
      <c r="E2355" s="1173">
        <v>1</v>
      </c>
      <c r="F2355" s="926">
        <f>Upah!F43</f>
        <v>120000</v>
      </c>
      <c r="G2355" s="926">
        <f t="shared" si="208"/>
        <v>120000</v>
      </c>
    </row>
    <row r="2356" spans="1:10" s="111" customFormat="1">
      <c r="A2356" s="960"/>
      <c r="B2356" s="961"/>
      <c r="C2356" s="962"/>
      <c r="D2356" s="941"/>
      <c r="E2356" s="942"/>
      <c r="F2356" s="943"/>
      <c r="G2356" s="944">
        <v>0</v>
      </c>
    </row>
    <row r="2357" spans="1:10" s="111" customFormat="1">
      <c r="A2357" s="963" t="s">
        <v>83</v>
      </c>
      <c r="B2357" s="964" t="s">
        <v>292</v>
      </c>
      <c r="C2357" s="965"/>
      <c r="D2357" s="915"/>
      <c r="E2357" s="966"/>
      <c r="F2357" s="967"/>
      <c r="G2357" s="968">
        <f>SUM(G2347:G2356)</f>
        <v>3125911.7119047623</v>
      </c>
    </row>
    <row r="2358" spans="1:10" s="111" customFormat="1">
      <c r="A2358" s="963" t="s">
        <v>84</v>
      </c>
      <c r="B2358" s="969" t="s">
        <v>293</v>
      </c>
      <c r="C2358" s="912"/>
      <c r="D2358" s="915"/>
      <c r="E2358" s="970">
        <f>$I$2</f>
        <v>0.1</v>
      </c>
      <c r="F2358" s="967"/>
      <c r="G2358" s="1622">
        <f>+G2357*E2358</f>
        <v>312591.17119047622</v>
      </c>
    </row>
    <row r="2359" spans="1:10" s="111" customFormat="1" ht="15" thickBot="1">
      <c r="A2359" s="971" t="s">
        <v>85</v>
      </c>
      <c r="B2359" s="972" t="s">
        <v>86</v>
      </c>
      <c r="C2359" s="973"/>
      <c r="D2359" s="973"/>
      <c r="E2359" s="974"/>
      <c r="F2359" s="975"/>
      <c r="G2359" s="976">
        <f>+G2358+G2357</f>
        <v>3438502.8830952384</v>
      </c>
    </row>
    <row r="2360" spans="1:10" s="111" customFormat="1" ht="15" thickTop="1">
      <c r="A2360" s="1029"/>
      <c r="B2360" s="1029"/>
      <c r="C2360" s="1029"/>
      <c r="D2360" s="1029"/>
      <c r="E2360" s="1030"/>
      <c r="F2360" s="1029"/>
      <c r="G2360" s="1031"/>
    </row>
    <row r="2361" spans="1:10" s="111" customFormat="1" ht="15.75" thickBot="1">
      <c r="A2361" s="1633" t="s">
        <v>1038</v>
      </c>
      <c r="B2361" s="1633"/>
      <c r="C2361" s="1634"/>
      <c r="D2361" s="1635"/>
      <c r="E2361" s="1634"/>
      <c r="F2361" s="1634"/>
      <c r="G2361" s="1634"/>
    </row>
    <row r="2362" spans="1:10" s="111" customFormat="1" ht="15" thickTop="1">
      <c r="A2362" s="1797" t="s">
        <v>275</v>
      </c>
      <c r="B2362" s="1799" t="s">
        <v>295</v>
      </c>
      <c r="C2362" s="1799" t="s">
        <v>276</v>
      </c>
      <c r="D2362" s="1799" t="s">
        <v>277</v>
      </c>
      <c r="E2362" s="1801" t="s">
        <v>865</v>
      </c>
      <c r="F2362" s="916" t="s">
        <v>279</v>
      </c>
      <c r="G2362" s="916" t="s">
        <v>280</v>
      </c>
    </row>
    <row r="2363" spans="1:10" s="111" customFormat="1">
      <c r="A2363" s="1798"/>
      <c r="B2363" s="1800"/>
      <c r="C2363" s="1800"/>
      <c r="D2363" s="1800"/>
      <c r="E2363" s="1802"/>
      <c r="F2363" s="917" t="s">
        <v>67</v>
      </c>
      <c r="G2363" s="917" t="s">
        <v>67</v>
      </c>
    </row>
    <row r="2364" spans="1:10" s="111" customFormat="1" ht="15">
      <c r="A2364" s="1636" t="s">
        <v>262</v>
      </c>
      <c r="B2364" s="1637" t="s">
        <v>631</v>
      </c>
      <c r="C2364" s="1636"/>
      <c r="D2364" s="1636"/>
      <c r="E2364" s="1638"/>
      <c r="F2364" s="1639"/>
      <c r="G2364" s="1639"/>
    </row>
    <row r="2365" spans="1:10" s="111" customFormat="1" ht="15">
      <c r="A2365" s="1640"/>
      <c r="B2365" s="1641" t="s">
        <v>69</v>
      </c>
      <c r="C2365" s="1640" t="s">
        <v>70</v>
      </c>
      <c r="D2365" s="1640" t="s">
        <v>71</v>
      </c>
      <c r="E2365" s="1642">
        <v>3.3300000000000003E-2</v>
      </c>
      <c r="F2365" s="50">
        <f>Upah!F26</f>
        <v>130000</v>
      </c>
      <c r="G2365" s="50">
        <f>E2365*F2365</f>
        <v>4329</v>
      </c>
      <c r="H2365" s="11"/>
      <c r="I2365" s="882">
        <v>3.3300000000000003E-2</v>
      </c>
      <c r="J2365" s="882">
        <v>3.3300000000000003E-2</v>
      </c>
    </row>
    <row r="2366" spans="1:10" s="111" customFormat="1" ht="15">
      <c r="A2366" s="1640"/>
      <c r="B2366" s="1641" t="s">
        <v>54</v>
      </c>
      <c r="C2366" s="1640" t="s">
        <v>72</v>
      </c>
      <c r="D2366" s="1640" t="s">
        <v>71</v>
      </c>
      <c r="E2366" s="1642">
        <v>1.67E-2</v>
      </c>
      <c r="F2366" s="50">
        <f>Upah!F17</f>
        <v>140000</v>
      </c>
      <c r="G2366" s="50">
        <f>E2366*F2366</f>
        <v>2338</v>
      </c>
      <c r="H2366" s="11"/>
      <c r="I2366" s="882">
        <v>1.67E-2</v>
      </c>
      <c r="J2366" s="882">
        <v>1.67E-2</v>
      </c>
    </row>
    <row r="2367" spans="1:10" s="111" customFormat="1" ht="15">
      <c r="A2367" s="1643"/>
      <c r="B2367" s="1644" t="s">
        <v>50</v>
      </c>
      <c r="C2367" s="1643" t="s">
        <v>75</v>
      </c>
      <c r="D2367" s="1643" t="s">
        <v>71</v>
      </c>
      <c r="E2367" s="1645">
        <v>1.6999999999999999E-3</v>
      </c>
      <c r="F2367" s="1646">
        <f>Upah!F8</f>
        <v>170000</v>
      </c>
      <c r="G2367" s="1646">
        <f>E2367*F2367</f>
        <v>289</v>
      </c>
      <c r="H2367" s="11"/>
      <c r="I2367" s="882">
        <v>1.6999999999999999E-3</v>
      </c>
      <c r="J2367" s="882">
        <v>1.6999999999999999E-3</v>
      </c>
    </row>
    <row r="2368" spans="1:10" s="111" customFormat="1" ht="15">
      <c r="A2368" s="1647" t="s">
        <v>632</v>
      </c>
      <c r="B2368" s="881"/>
      <c r="C2368" s="881"/>
      <c r="D2368" s="1648"/>
      <c r="E2368" s="881"/>
      <c r="F2368" s="1649"/>
      <c r="G2368" s="1650">
        <f>SUM(G2365:G2367)</f>
        <v>6956</v>
      </c>
      <c r="H2368" s="11"/>
      <c r="I2368" s="881"/>
      <c r="J2368" s="881"/>
    </row>
    <row r="2369" spans="1:10" s="111" customFormat="1" ht="15">
      <c r="A2369" s="1651" t="s">
        <v>263</v>
      </c>
      <c r="B2369" s="1652" t="s">
        <v>299</v>
      </c>
      <c r="C2369" s="1651"/>
      <c r="D2369" s="1651"/>
      <c r="E2369" s="1653"/>
      <c r="F2369" s="1654"/>
      <c r="G2369" s="1654"/>
      <c r="H2369" s="11"/>
      <c r="I2369" s="882"/>
      <c r="J2369" s="882"/>
    </row>
    <row r="2370" spans="1:10" s="111" customFormat="1" ht="15">
      <c r="A2370" s="1640"/>
      <c r="B2370" s="1655" t="s">
        <v>1036</v>
      </c>
      <c r="C2370" s="1640"/>
      <c r="D2370" s="1640" t="s">
        <v>291</v>
      </c>
      <c r="E2370" s="1642">
        <v>2</v>
      </c>
      <c r="F2370" s="50">
        <f>Bahan!E111</f>
        <v>68000</v>
      </c>
      <c r="G2370" s="50">
        <f t="shared" ref="G2370:G2372" si="212">E2370*F2370</f>
        <v>136000</v>
      </c>
      <c r="H2370" s="11"/>
      <c r="I2370" s="882">
        <v>2.5</v>
      </c>
      <c r="J2370" s="882">
        <v>1.6667000000000001</v>
      </c>
    </row>
    <row r="2371" spans="1:10" s="111" customFormat="1" ht="15">
      <c r="A2371" s="1640"/>
      <c r="B2371" s="1641" t="s">
        <v>87</v>
      </c>
      <c r="C2371" s="1640"/>
      <c r="D2371" s="1640" t="s">
        <v>268</v>
      </c>
      <c r="E2371" s="1642">
        <f t="shared" ref="E2371:E2372" si="213">(I2371+J2371)/2</f>
        <v>1.6068</v>
      </c>
      <c r="F2371" s="50">
        <f>F2146</f>
        <v>1450</v>
      </c>
      <c r="G2371" s="50">
        <f t="shared" si="212"/>
        <v>2329.86</v>
      </c>
      <c r="H2371" s="11"/>
      <c r="I2371" s="882">
        <v>1.2854000000000001</v>
      </c>
      <c r="J2371" s="882">
        <v>1.9281999999999999</v>
      </c>
    </row>
    <row r="2372" spans="1:10" s="111" customFormat="1" ht="15">
      <c r="A2372" s="1643"/>
      <c r="B2372" s="1644" t="s">
        <v>332</v>
      </c>
      <c r="C2372" s="1643"/>
      <c r="D2372" s="1643" t="s">
        <v>268</v>
      </c>
      <c r="E2372" s="1645">
        <f t="shared" si="213"/>
        <v>9.0305</v>
      </c>
      <c r="F2372" s="1646">
        <f>F251</f>
        <v>282.14285714285717</v>
      </c>
      <c r="G2372" s="1646">
        <f t="shared" si="212"/>
        <v>2547.8910714285716</v>
      </c>
      <c r="H2372" s="11"/>
      <c r="I2372" s="882">
        <v>7.2244000000000002</v>
      </c>
      <c r="J2372" s="882">
        <v>10.836600000000001</v>
      </c>
    </row>
    <row r="2373" spans="1:10" s="111" customFormat="1" ht="15">
      <c r="A2373" s="1647" t="s">
        <v>642</v>
      </c>
      <c r="B2373" s="881"/>
      <c r="C2373" s="881"/>
      <c r="D2373" s="1648"/>
      <c r="E2373" s="881"/>
      <c r="F2373" s="1649"/>
      <c r="G2373" s="1650">
        <f>SUM(G2370:G2372)</f>
        <v>140877.75107142856</v>
      </c>
      <c r="H2373" s="11"/>
    </row>
    <row r="2374" spans="1:10" s="111" customFormat="1" ht="15">
      <c r="A2374" s="1656" t="s">
        <v>264</v>
      </c>
      <c r="B2374" s="1657" t="s">
        <v>250</v>
      </c>
      <c r="C2374" s="1656"/>
      <c r="D2374" s="1656"/>
      <c r="E2374" s="882"/>
      <c r="F2374" s="1658"/>
      <c r="G2374" s="1658"/>
      <c r="H2374" s="11"/>
    </row>
    <row r="2375" spans="1:10" s="111" customFormat="1" ht="15">
      <c r="A2375" s="1647" t="s">
        <v>287</v>
      </c>
      <c r="B2375" s="881"/>
      <c r="C2375" s="881"/>
      <c r="D2375" s="1648"/>
      <c r="E2375" s="881"/>
      <c r="F2375" s="1649"/>
      <c r="G2375" s="1650">
        <f>SUM(G2374)</f>
        <v>0</v>
      </c>
      <c r="H2375" s="11"/>
    </row>
    <row r="2376" spans="1:10" s="111" customFormat="1" ht="15">
      <c r="A2376" s="1659" t="s">
        <v>281</v>
      </c>
      <c r="B2376" s="1660" t="s">
        <v>292</v>
      </c>
      <c r="C2376" s="1660"/>
      <c r="D2376" s="1661"/>
      <c r="E2376" s="1660"/>
      <c r="F2376" s="1662"/>
      <c r="G2376" s="1663">
        <f>G2368+G2373+G2375</f>
        <v>147833.75107142856</v>
      </c>
      <c r="H2376" s="11"/>
    </row>
    <row r="2377" spans="1:10" s="111" customFormat="1" ht="15">
      <c r="A2377" s="1664" t="s">
        <v>90</v>
      </c>
      <c r="B2377" s="1665" t="s">
        <v>293</v>
      </c>
      <c r="C2377" s="1665"/>
      <c r="D2377" s="1666"/>
      <c r="E2377" s="970">
        <f>$I$2</f>
        <v>0.1</v>
      </c>
      <c r="F2377" s="1092"/>
      <c r="G2377" s="1622">
        <f>+G2376*E2377</f>
        <v>14783.375107142856</v>
      </c>
    </row>
    <row r="2378" spans="1:10" s="111" customFormat="1" ht="15">
      <c r="A2378" s="1667" t="s">
        <v>94</v>
      </c>
      <c r="B2378" s="1668" t="s">
        <v>86</v>
      </c>
      <c r="C2378" s="1668"/>
      <c r="D2378" s="1669"/>
      <c r="E2378" s="1668"/>
      <c r="F2378" s="1670"/>
      <c r="G2378" s="1671">
        <f>G2376+G2377</f>
        <v>162617.12617857143</v>
      </c>
    </row>
    <row r="2379" spans="1:10" s="111" customFormat="1">
      <c r="A2379" s="10"/>
      <c r="B2379" s="10"/>
      <c r="C2379" s="10"/>
      <c r="D2379" s="10"/>
      <c r="E2379" s="1004"/>
      <c r="F2379" s="10"/>
      <c r="G2379" s="46"/>
    </row>
    <row r="2380" spans="1:10" s="111" customFormat="1" ht="15" thickBot="1">
      <c r="A2380" s="10" t="s">
        <v>1051</v>
      </c>
      <c r="B2380" s="10"/>
      <c r="C2380" s="10"/>
      <c r="D2380" s="10"/>
      <c r="E2380" s="1004"/>
      <c r="F2380" s="10"/>
      <c r="G2380" s="46"/>
    </row>
    <row r="2381" spans="1:10" s="111" customFormat="1" ht="15" thickTop="1">
      <c r="A2381" s="1797" t="s">
        <v>275</v>
      </c>
      <c r="B2381" s="1799" t="s">
        <v>295</v>
      </c>
      <c r="C2381" s="1799" t="s">
        <v>276</v>
      </c>
      <c r="D2381" s="1799" t="s">
        <v>277</v>
      </c>
      <c r="E2381" s="1801" t="s">
        <v>865</v>
      </c>
      <c r="F2381" s="916" t="s">
        <v>279</v>
      </c>
      <c r="G2381" s="916" t="s">
        <v>280</v>
      </c>
    </row>
    <row r="2382" spans="1:10" s="111" customFormat="1">
      <c r="A2382" s="1798"/>
      <c r="B2382" s="1800"/>
      <c r="C2382" s="1800"/>
      <c r="D2382" s="1800"/>
      <c r="E2382" s="1802"/>
      <c r="F2382" s="917" t="s">
        <v>67</v>
      </c>
      <c r="G2382" s="917" t="s">
        <v>67</v>
      </c>
    </row>
    <row r="2383" spans="1:10" s="111" customFormat="1">
      <c r="A2383" s="918"/>
      <c r="B2383" s="923"/>
      <c r="C2383" s="924"/>
      <c r="D2383" s="924"/>
      <c r="E2383" s="1155"/>
      <c r="F2383" s="926"/>
      <c r="G2383" s="926"/>
    </row>
    <row r="2384" spans="1:10" s="111" customFormat="1">
      <c r="A2384" s="918"/>
      <c r="B2384" s="1164" t="str">
        <f>B2353</f>
        <v>Pek. Instalasi Listrik</v>
      </c>
      <c r="C2384" s="993"/>
      <c r="D2384" s="993" t="s">
        <v>283</v>
      </c>
      <c r="E2384" s="1155">
        <v>1</v>
      </c>
      <c r="F2384" s="995">
        <f>F2353</f>
        <v>355065</v>
      </c>
      <c r="G2384" s="926">
        <f t="shared" ref="G2384" si="214">+F2384*E2384</f>
        <v>355065</v>
      </c>
    </row>
    <row r="2385" spans="1:7" s="111" customFormat="1">
      <c r="A2385" s="1161"/>
      <c r="B2385" s="923" t="s">
        <v>1050</v>
      </c>
      <c r="C2385" s="1172"/>
      <c r="D2385" s="1172" t="s">
        <v>7</v>
      </c>
      <c r="E2385" s="1173">
        <v>1</v>
      </c>
      <c r="F2385" s="926">
        <f>Bahan!E80</f>
        <v>250000</v>
      </c>
      <c r="G2385" s="926">
        <f t="shared" ref="G2385" si="215">+F2385*E2385</f>
        <v>250000</v>
      </c>
    </row>
    <row r="2386" spans="1:7" s="111" customFormat="1">
      <c r="A2386" s="960"/>
      <c r="B2386" s="961"/>
      <c r="C2386" s="962"/>
      <c r="D2386" s="941"/>
      <c r="E2386" s="942"/>
      <c r="F2386" s="943"/>
      <c r="G2386" s="944">
        <v>0</v>
      </c>
    </row>
    <row r="2387" spans="1:7" s="111" customFormat="1">
      <c r="A2387" s="963" t="s">
        <v>83</v>
      </c>
      <c r="B2387" s="964" t="s">
        <v>292</v>
      </c>
      <c r="C2387" s="965"/>
      <c r="D2387" s="915"/>
      <c r="E2387" s="966"/>
      <c r="F2387" s="967"/>
      <c r="G2387" s="968">
        <f>SUM(G2383:G2386)</f>
        <v>605065</v>
      </c>
    </row>
    <row r="2388" spans="1:7" s="111" customFormat="1">
      <c r="A2388" s="963" t="s">
        <v>84</v>
      </c>
      <c r="B2388" s="969" t="s">
        <v>293</v>
      </c>
      <c r="C2388" s="912"/>
      <c r="D2388" s="915"/>
      <c r="E2388" s="970">
        <f>$I$2</f>
        <v>0.1</v>
      </c>
      <c r="F2388" s="967"/>
      <c r="G2388" s="1622">
        <f>+G2387*E2388</f>
        <v>60506.5</v>
      </c>
    </row>
    <row r="2389" spans="1:7" s="111" customFormat="1" ht="15" thickBot="1">
      <c r="A2389" s="971" t="s">
        <v>85</v>
      </c>
      <c r="B2389" s="972" t="s">
        <v>86</v>
      </c>
      <c r="C2389" s="973"/>
      <c r="D2389" s="973"/>
      <c r="E2389" s="974"/>
      <c r="F2389" s="975"/>
      <c r="G2389" s="976">
        <f>+G2388+G2387</f>
        <v>665571.5</v>
      </c>
    </row>
    <row r="2390" spans="1:7" s="111" customFormat="1" ht="15" thickTop="1">
      <c r="A2390" s="10"/>
      <c r="B2390" s="10"/>
      <c r="C2390" s="10"/>
      <c r="D2390" s="10"/>
      <c r="E2390" s="1004"/>
      <c r="F2390" s="10"/>
      <c r="G2390" s="46"/>
    </row>
    <row r="2391" spans="1:7" s="111" customFormat="1">
      <c r="A2391" s="10"/>
      <c r="B2391" s="10"/>
      <c r="C2391" s="10"/>
      <c r="D2391" s="10"/>
      <c r="E2391" s="1004"/>
      <c r="F2391" s="10"/>
      <c r="G2391" s="46"/>
    </row>
    <row r="2392" spans="1:7">
      <c r="F2392" s="1831" t="s">
        <v>682</v>
      </c>
      <c r="G2392" s="1831"/>
    </row>
    <row r="2393" spans="1:7">
      <c r="F2393" s="1848" t="s">
        <v>683</v>
      </c>
      <c r="G2393" s="1848"/>
    </row>
    <row r="2394" spans="1:7">
      <c r="F2394" s="1831"/>
      <c r="G2394" s="1831"/>
    </row>
    <row r="2395" spans="1:7">
      <c r="F2395" s="1831"/>
      <c r="G2395" s="1831"/>
    </row>
    <row r="2396" spans="1:7">
      <c r="F2396" s="1831"/>
      <c r="G2396" s="1831"/>
    </row>
    <row r="2397" spans="1:7">
      <c r="F2397" s="1831"/>
      <c r="G2397" s="1831"/>
    </row>
    <row r="2398" spans="1:7">
      <c r="F2398" s="1830" t="s">
        <v>684</v>
      </c>
      <c r="G2398" s="1830"/>
    </row>
    <row r="2399" spans="1:7">
      <c r="F2399" s="1831" t="s">
        <v>685</v>
      </c>
      <c r="G2399" s="1831"/>
    </row>
    <row r="2406" spans="1:7" s="103" customFormat="1">
      <c r="A2406" s="10"/>
      <c r="B2406" s="10"/>
      <c r="C2406" s="10"/>
      <c r="D2406" s="10"/>
      <c r="E2406" s="1004"/>
      <c r="F2406" s="10"/>
      <c r="G2406" s="10"/>
    </row>
    <row r="2408" spans="1:7" s="103" customFormat="1">
      <c r="A2408" s="10"/>
      <c r="B2408" s="10"/>
      <c r="C2408" s="10"/>
      <c r="D2408" s="10"/>
      <c r="E2408" s="1004"/>
      <c r="F2408" s="10"/>
      <c r="G2408" s="10"/>
    </row>
    <row r="2409" spans="1:7" s="103" customFormat="1">
      <c r="A2409" s="10"/>
      <c r="B2409" s="10"/>
      <c r="C2409" s="10"/>
      <c r="D2409" s="10"/>
      <c r="E2409" s="1004"/>
      <c r="F2409" s="10"/>
      <c r="G2409" s="10"/>
    </row>
    <row r="2410" spans="1:7" s="103" customFormat="1">
      <c r="A2410" s="10"/>
      <c r="B2410" s="10"/>
      <c r="C2410" s="10"/>
      <c r="D2410" s="10"/>
      <c r="E2410" s="1004"/>
      <c r="F2410" s="10"/>
      <c r="G2410" s="10"/>
    </row>
    <row r="2411" spans="1:7" s="103" customFormat="1">
      <c r="A2411" s="10"/>
      <c r="B2411" s="10"/>
      <c r="C2411" s="10"/>
      <c r="D2411" s="10"/>
      <c r="E2411" s="1004"/>
      <c r="F2411" s="10"/>
      <c r="G2411" s="10"/>
    </row>
    <row r="2412" spans="1:7" s="103" customFormat="1">
      <c r="A2412" s="10"/>
      <c r="B2412" s="10"/>
      <c r="C2412" s="10"/>
      <c r="D2412" s="10"/>
      <c r="E2412" s="1004"/>
      <c r="F2412" s="10"/>
      <c r="G2412" s="10"/>
    </row>
    <row r="2413" spans="1:7" s="103" customFormat="1">
      <c r="A2413" s="10"/>
      <c r="B2413" s="10"/>
      <c r="C2413" s="10"/>
      <c r="D2413" s="10"/>
      <c r="E2413" s="1004"/>
      <c r="F2413" s="10"/>
      <c r="G2413" s="10"/>
    </row>
    <row r="2414" spans="1:7" s="103" customFormat="1">
      <c r="A2414" s="10"/>
      <c r="B2414" s="10"/>
      <c r="C2414" s="10"/>
      <c r="D2414" s="10"/>
      <c r="E2414" s="1004"/>
      <c r="F2414" s="10"/>
      <c r="G2414" s="10"/>
    </row>
    <row r="2415" spans="1:7" s="103" customFormat="1">
      <c r="A2415" s="10"/>
      <c r="B2415" s="10"/>
      <c r="C2415" s="10"/>
      <c r="D2415" s="10"/>
      <c r="E2415" s="1004"/>
      <c r="F2415" s="10"/>
      <c r="G2415" s="10"/>
    </row>
    <row r="2416" spans="1:7" s="103" customFormat="1">
      <c r="A2416" s="10"/>
      <c r="B2416" s="10"/>
      <c r="C2416" s="10"/>
      <c r="D2416" s="10"/>
      <c r="E2416" s="1004"/>
      <c r="F2416" s="10"/>
      <c r="G2416" s="10"/>
    </row>
    <row r="2417" spans="1:7" s="103" customFormat="1">
      <c r="A2417" s="10"/>
      <c r="B2417" s="10"/>
      <c r="C2417" s="10"/>
      <c r="D2417" s="10"/>
      <c r="E2417" s="1004"/>
      <c r="F2417" s="10"/>
      <c r="G2417" s="10"/>
    </row>
    <row r="2418" spans="1:7" s="103" customFormat="1">
      <c r="A2418" s="10"/>
      <c r="B2418" s="10"/>
      <c r="C2418" s="10"/>
      <c r="D2418" s="10"/>
      <c r="E2418" s="1004"/>
      <c r="F2418" s="10"/>
      <c r="G2418" s="10"/>
    </row>
    <row r="2419" spans="1:7" s="103" customFormat="1">
      <c r="A2419" s="10"/>
      <c r="B2419" s="10"/>
      <c r="C2419" s="10"/>
      <c r="D2419" s="10"/>
      <c r="E2419" s="1004"/>
      <c r="F2419" s="10"/>
      <c r="G2419" s="10"/>
    </row>
    <row r="2420" spans="1:7" s="103" customFormat="1">
      <c r="A2420" s="10"/>
      <c r="B2420" s="10"/>
      <c r="C2420" s="10"/>
      <c r="D2420" s="10"/>
      <c r="E2420" s="1004"/>
      <c r="F2420" s="10"/>
      <c r="G2420" s="10"/>
    </row>
    <row r="2421" spans="1:7" s="103" customFormat="1">
      <c r="A2421" s="10"/>
      <c r="B2421" s="10"/>
      <c r="C2421" s="10"/>
      <c r="D2421" s="10"/>
      <c r="E2421" s="1004"/>
      <c r="F2421" s="10"/>
      <c r="G2421" s="10"/>
    </row>
    <row r="2422" spans="1:7" s="103" customFormat="1">
      <c r="A2422" s="10"/>
      <c r="B2422" s="10"/>
      <c r="C2422" s="10"/>
      <c r="D2422" s="10"/>
      <c r="E2422" s="1004"/>
      <c r="F2422" s="10"/>
      <c r="G2422" s="10"/>
    </row>
    <row r="2423" spans="1:7" s="103" customFormat="1">
      <c r="A2423" s="10"/>
      <c r="B2423" s="10"/>
      <c r="C2423" s="10"/>
      <c r="D2423" s="10"/>
      <c r="E2423" s="1004"/>
      <c r="F2423" s="10"/>
      <c r="G2423" s="10"/>
    </row>
    <row r="2424" spans="1:7" s="103" customFormat="1">
      <c r="A2424" s="10"/>
      <c r="B2424" s="10"/>
      <c r="C2424" s="10"/>
      <c r="D2424" s="10"/>
      <c r="E2424" s="1004"/>
      <c r="F2424" s="10"/>
      <c r="G2424" s="10"/>
    </row>
    <row r="2425" spans="1:7" s="103" customFormat="1">
      <c r="A2425" s="10"/>
      <c r="B2425" s="10"/>
      <c r="C2425" s="10"/>
      <c r="D2425" s="10"/>
      <c r="E2425" s="1004"/>
      <c r="F2425" s="10"/>
      <c r="G2425" s="10"/>
    </row>
    <row r="2426" spans="1:7" s="103" customFormat="1" ht="15.75" customHeight="1">
      <c r="A2426" s="10"/>
      <c r="B2426" s="10"/>
      <c r="C2426" s="10"/>
      <c r="D2426" s="10"/>
      <c r="E2426" s="1004"/>
      <c r="F2426" s="10"/>
      <c r="G2426" s="10"/>
    </row>
    <row r="2427" spans="1:7" s="103" customFormat="1">
      <c r="A2427" s="10"/>
      <c r="B2427" s="10"/>
      <c r="C2427" s="10"/>
      <c r="D2427" s="10"/>
      <c r="E2427" s="1004"/>
      <c r="F2427" s="10"/>
      <c r="G2427" s="10"/>
    </row>
    <row r="2428" spans="1:7" s="103" customFormat="1">
      <c r="A2428" s="10"/>
      <c r="B2428" s="10"/>
      <c r="C2428" s="10"/>
      <c r="D2428" s="10"/>
      <c r="E2428" s="1004"/>
      <c r="F2428" s="10"/>
      <c r="G2428" s="10"/>
    </row>
    <row r="2429" spans="1:7" s="103" customFormat="1">
      <c r="A2429" s="10"/>
      <c r="B2429" s="10"/>
      <c r="C2429" s="10"/>
      <c r="D2429" s="10"/>
      <c r="E2429" s="1004"/>
      <c r="F2429" s="10"/>
      <c r="G2429" s="10"/>
    </row>
    <row r="2430" spans="1:7" s="103" customFormat="1">
      <c r="A2430" s="10"/>
      <c r="B2430" s="10"/>
      <c r="C2430" s="10"/>
      <c r="D2430" s="10"/>
      <c r="E2430" s="1004"/>
      <c r="F2430" s="10"/>
      <c r="G2430" s="10"/>
    </row>
    <row r="2431" spans="1:7" s="103" customFormat="1">
      <c r="A2431" s="10"/>
      <c r="B2431" s="10"/>
      <c r="C2431" s="10"/>
      <c r="D2431" s="10"/>
      <c r="E2431" s="1004"/>
      <c r="F2431" s="10"/>
      <c r="G2431" s="10"/>
    </row>
    <row r="2432" spans="1:7" s="103" customFormat="1">
      <c r="A2432" s="10"/>
      <c r="B2432" s="10"/>
      <c r="C2432" s="10"/>
      <c r="D2432" s="10"/>
      <c r="E2432" s="1004"/>
      <c r="F2432" s="10"/>
      <c r="G2432" s="10"/>
    </row>
    <row r="2433" spans="1:7" s="103" customFormat="1">
      <c r="A2433" s="10"/>
      <c r="B2433" s="10"/>
      <c r="C2433" s="10"/>
      <c r="D2433" s="10"/>
      <c r="E2433" s="1004"/>
      <c r="F2433" s="10"/>
      <c r="G2433" s="10"/>
    </row>
    <row r="2434" spans="1:7" s="103" customFormat="1">
      <c r="A2434" s="10"/>
      <c r="B2434" s="10"/>
      <c r="C2434" s="10"/>
      <c r="D2434" s="10"/>
      <c r="E2434" s="1004"/>
      <c r="F2434" s="10"/>
      <c r="G2434" s="10"/>
    </row>
    <row r="2435" spans="1:7" s="103" customFormat="1">
      <c r="A2435" s="10"/>
      <c r="B2435" s="10"/>
      <c r="C2435" s="10"/>
      <c r="D2435" s="10"/>
      <c r="E2435" s="1004"/>
      <c r="F2435" s="10"/>
      <c r="G2435" s="10"/>
    </row>
    <row r="2436" spans="1:7" s="103" customFormat="1">
      <c r="A2436" s="10"/>
      <c r="B2436" s="10"/>
      <c r="C2436" s="10"/>
      <c r="D2436" s="10"/>
      <c r="E2436" s="1004"/>
      <c r="F2436" s="10"/>
      <c r="G2436" s="10"/>
    </row>
    <row r="2437" spans="1:7" s="103" customFormat="1">
      <c r="A2437" s="10"/>
      <c r="B2437" s="10"/>
      <c r="C2437" s="10"/>
      <c r="D2437" s="10"/>
      <c r="E2437" s="1004"/>
      <c r="F2437" s="10"/>
      <c r="G2437" s="10"/>
    </row>
    <row r="2438" spans="1:7" s="103" customFormat="1">
      <c r="A2438" s="10"/>
      <c r="B2438" s="10"/>
      <c r="C2438" s="10"/>
      <c r="D2438" s="10"/>
      <c r="E2438" s="1004"/>
      <c r="F2438" s="10"/>
      <c r="G2438" s="10"/>
    </row>
    <row r="2439" spans="1:7" s="103" customFormat="1">
      <c r="A2439" s="10"/>
      <c r="B2439" s="10"/>
      <c r="C2439" s="10"/>
      <c r="D2439" s="10"/>
      <c r="E2439" s="1004"/>
      <c r="F2439" s="10"/>
      <c r="G2439" s="10"/>
    </row>
    <row r="2440" spans="1:7" s="103" customFormat="1">
      <c r="A2440" s="10"/>
      <c r="B2440" s="10"/>
      <c r="C2440" s="10"/>
      <c r="D2440" s="10"/>
      <c r="E2440" s="1004"/>
      <c r="F2440" s="10"/>
      <c r="G2440" s="10"/>
    </row>
    <row r="2441" spans="1:7" s="103" customFormat="1">
      <c r="A2441" s="10"/>
      <c r="B2441" s="10"/>
      <c r="C2441" s="10"/>
      <c r="D2441" s="10"/>
      <c r="E2441" s="1004"/>
      <c r="F2441" s="10"/>
      <c r="G2441" s="10"/>
    </row>
    <row r="2442" spans="1:7" s="103" customFormat="1">
      <c r="A2442" s="10"/>
      <c r="B2442" s="10"/>
      <c r="C2442" s="10"/>
      <c r="D2442" s="10"/>
      <c r="E2442" s="1004"/>
      <c r="F2442" s="10"/>
      <c r="G2442" s="10"/>
    </row>
    <row r="2443" spans="1:7" s="103" customFormat="1">
      <c r="A2443" s="10"/>
      <c r="B2443" s="10"/>
      <c r="C2443" s="10"/>
      <c r="D2443" s="10"/>
      <c r="E2443" s="1004"/>
      <c r="F2443" s="10"/>
      <c r="G2443" s="10"/>
    </row>
    <row r="2444" spans="1:7" s="103" customFormat="1">
      <c r="A2444" s="10"/>
      <c r="B2444" s="10"/>
      <c r="C2444" s="10"/>
      <c r="D2444" s="10"/>
      <c r="E2444" s="1004"/>
      <c r="F2444" s="10"/>
      <c r="G2444" s="10"/>
    </row>
    <row r="2445" spans="1:7" s="103" customFormat="1">
      <c r="A2445" s="10"/>
      <c r="B2445" s="10"/>
      <c r="C2445" s="10"/>
      <c r="D2445" s="10"/>
      <c r="E2445" s="1004"/>
      <c r="F2445" s="10"/>
      <c r="G2445" s="10"/>
    </row>
    <row r="2446" spans="1:7" s="103" customFormat="1">
      <c r="A2446" s="10"/>
      <c r="B2446" s="10"/>
      <c r="C2446" s="10"/>
      <c r="D2446" s="10"/>
      <c r="E2446" s="1004"/>
      <c r="F2446" s="10"/>
      <c r="G2446" s="10"/>
    </row>
    <row r="2447" spans="1:7" s="103" customFormat="1">
      <c r="A2447" s="10"/>
      <c r="B2447" s="10"/>
      <c r="C2447" s="10"/>
      <c r="D2447" s="10"/>
      <c r="E2447" s="1004"/>
      <c r="F2447" s="10"/>
      <c r="G2447" s="10"/>
    </row>
    <row r="2448" spans="1:7" s="103" customFormat="1">
      <c r="A2448" s="10"/>
      <c r="B2448" s="10"/>
      <c r="C2448" s="10"/>
      <c r="D2448" s="10"/>
      <c r="E2448" s="1004"/>
      <c r="F2448" s="10"/>
      <c r="G2448" s="10"/>
    </row>
    <row r="2449" spans="1:7" s="103" customFormat="1">
      <c r="A2449" s="10"/>
      <c r="B2449" s="10"/>
      <c r="C2449" s="10"/>
      <c r="D2449" s="10"/>
      <c r="E2449" s="1004"/>
      <c r="F2449" s="10"/>
      <c r="G2449" s="10"/>
    </row>
    <row r="2450" spans="1:7" s="103" customFormat="1">
      <c r="A2450" s="10"/>
      <c r="B2450" s="10"/>
      <c r="C2450" s="10"/>
      <c r="D2450" s="10"/>
      <c r="E2450" s="1004"/>
      <c r="F2450" s="10"/>
      <c r="G2450" s="10"/>
    </row>
    <row r="2451" spans="1:7" s="103" customFormat="1">
      <c r="A2451" s="10"/>
      <c r="B2451" s="10"/>
      <c r="C2451" s="10"/>
      <c r="D2451" s="10"/>
      <c r="E2451" s="1004"/>
      <c r="F2451" s="10"/>
      <c r="G2451" s="10"/>
    </row>
    <row r="2452" spans="1:7" s="103" customFormat="1">
      <c r="A2452" s="10"/>
      <c r="B2452" s="10"/>
      <c r="C2452" s="10"/>
      <c r="D2452" s="10"/>
      <c r="E2452" s="1004"/>
      <c r="F2452" s="10"/>
      <c r="G2452" s="10"/>
    </row>
    <row r="2453" spans="1:7" s="103" customFormat="1">
      <c r="A2453" s="10"/>
      <c r="B2453" s="10"/>
      <c r="C2453" s="10"/>
      <c r="D2453" s="10"/>
      <c r="E2453" s="1004"/>
      <c r="F2453" s="10"/>
      <c r="G2453" s="10"/>
    </row>
    <row r="2454" spans="1:7" s="103" customFormat="1">
      <c r="A2454" s="10"/>
      <c r="B2454" s="10"/>
      <c r="C2454" s="10"/>
      <c r="D2454" s="10"/>
      <c r="E2454" s="1004"/>
      <c r="F2454" s="10"/>
      <c r="G2454" s="10"/>
    </row>
    <row r="2455" spans="1:7" s="103" customFormat="1">
      <c r="A2455" s="10"/>
      <c r="B2455" s="10"/>
      <c r="C2455" s="10"/>
      <c r="D2455" s="10"/>
      <c r="E2455" s="1004"/>
      <c r="F2455" s="10"/>
      <c r="G2455" s="10"/>
    </row>
    <row r="2456" spans="1:7" s="103" customFormat="1">
      <c r="A2456" s="10"/>
      <c r="B2456" s="10"/>
      <c r="C2456" s="10"/>
      <c r="D2456" s="10"/>
      <c r="E2456" s="1004"/>
      <c r="F2456" s="10"/>
      <c r="G2456" s="10"/>
    </row>
    <row r="2457" spans="1:7" s="103" customFormat="1">
      <c r="A2457" s="10"/>
      <c r="B2457" s="10"/>
      <c r="C2457" s="10"/>
      <c r="D2457" s="10"/>
      <c r="E2457" s="1004"/>
      <c r="F2457" s="10"/>
      <c r="G2457" s="10"/>
    </row>
    <row r="2458" spans="1:7" s="103" customFormat="1">
      <c r="A2458" s="10"/>
      <c r="B2458" s="10"/>
      <c r="C2458" s="10"/>
      <c r="D2458" s="10"/>
      <c r="E2458" s="1004"/>
      <c r="F2458" s="10"/>
      <c r="G2458" s="10"/>
    </row>
    <row r="2459" spans="1:7" s="103" customFormat="1">
      <c r="A2459" s="10"/>
      <c r="B2459" s="10"/>
      <c r="C2459" s="10"/>
      <c r="D2459" s="10"/>
      <c r="E2459" s="1004"/>
      <c r="F2459" s="10"/>
      <c r="G2459" s="10"/>
    </row>
    <row r="2460" spans="1:7" s="103" customFormat="1">
      <c r="A2460" s="10"/>
      <c r="B2460" s="10"/>
      <c r="C2460" s="10"/>
      <c r="D2460" s="10"/>
      <c r="E2460" s="1004"/>
      <c r="F2460" s="10"/>
      <c r="G2460" s="10"/>
    </row>
    <row r="2461" spans="1:7" s="103" customFormat="1">
      <c r="A2461" s="10"/>
      <c r="B2461" s="10"/>
      <c r="C2461" s="10"/>
      <c r="D2461" s="10"/>
      <c r="E2461" s="1004"/>
      <c r="F2461" s="10"/>
      <c r="G2461" s="10"/>
    </row>
    <row r="2462" spans="1:7" s="103" customFormat="1">
      <c r="A2462" s="10"/>
      <c r="B2462" s="10"/>
      <c r="C2462" s="10"/>
      <c r="D2462" s="10"/>
      <c r="E2462" s="1004"/>
      <c r="F2462" s="10"/>
      <c r="G2462" s="10"/>
    </row>
    <row r="2463" spans="1:7" s="103" customFormat="1">
      <c r="A2463" s="10"/>
      <c r="B2463" s="10"/>
      <c r="C2463" s="10"/>
      <c r="D2463" s="10"/>
      <c r="E2463" s="1004"/>
      <c r="F2463" s="10"/>
      <c r="G2463" s="10"/>
    </row>
    <row r="2464" spans="1:7" s="103" customFormat="1">
      <c r="A2464" s="10"/>
      <c r="B2464" s="10"/>
      <c r="C2464" s="10"/>
      <c r="D2464" s="10"/>
      <c r="E2464" s="1004"/>
      <c r="F2464" s="10"/>
      <c r="G2464" s="10"/>
    </row>
    <row r="2465" spans="1:7" s="103" customFormat="1">
      <c r="A2465" s="10"/>
      <c r="B2465" s="10"/>
      <c r="C2465" s="10"/>
      <c r="D2465" s="10"/>
      <c r="E2465" s="1004"/>
      <c r="F2465" s="10"/>
      <c r="G2465" s="10"/>
    </row>
    <row r="2466" spans="1:7" s="103" customFormat="1">
      <c r="A2466" s="10"/>
      <c r="B2466" s="10"/>
      <c r="C2466" s="10"/>
      <c r="D2466" s="10"/>
      <c r="E2466" s="1004"/>
      <c r="F2466" s="10"/>
      <c r="G2466" s="10"/>
    </row>
    <row r="2467" spans="1:7" s="103" customFormat="1">
      <c r="A2467" s="10"/>
      <c r="B2467" s="10"/>
      <c r="C2467" s="10"/>
      <c r="D2467" s="10"/>
      <c r="E2467" s="1004"/>
      <c r="F2467" s="10"/>
      <c r="G2467" s="10"/>
    </row>
    <row r="2468" spans="1:7" s="103" customFormat="1">
      <c r="A2468" s="10"/>
      <c r="B2468" s="10"/>
      <c r="C2468" s="10"/>
      <c r="D2468" s="10"/>
      <c r="E2468" s="1004"/>
      <c r="F2468" s="10"/>
      <c r="G2468" s="10"/>
    </row>
    <row r="2469" spans="1:7" s="103" customFormat="1">
      <c r="A2469" s="10"/>
      <c r="B2469" s="10"/>
      <c r="C2469" s="10"/>
      <c r="D2469" s="10"/>
      <c r="E2469" s="1004"/>
      <c r="F2469" s="10"/>
      <c r="G2469" s="10"/>
    </row>
    <row r="2470" spans="1:7" s="103" customFormat="1">
      <c r="A2470" s="10"/>
      <c r="B2470" s="10"/>
      <c r="C2470" s="10"/>
      <c r="D2470" s="10"/>
      <c r="E2470" s="1004"/>
      <c r="F2470" s="10"/>
      <c r="G2470" s="10"/>
    </row>
    <row r="2471" spans="1:7" s="103" customFormat="1">
      <c r="A2471" s="10"/>
      <c r="B2471" s="10"/>
      <c r="C2471" s="10"/>
      <c r="D2471" s="10"/>
      <c r="E2471" s="1004"/>
      <c r="F2471" s="10"/>
      <c r="G2471" s="10"/>
    </row>
    <row r="2472" spans="1:7" s="103" customFormat="1">
      <c r="A2472" s="10"/>
      <c r="B2472" s="10"/>
      <c r="C2472" s="10"/>
      <c r="D2472" s="10"/>
      <c r="E2472" s="1004"/>
      <c r="F2472" s="10"/>
      <c r="G2472" s="10"/>
    </row>
    <row r="2473" spans="1:7" s="103" customFormat="1">
      <c r="A2473" s="10"/>
      <c r="B2473" s="10"/>
      <c r="C2473" s="10"/>
      <c r="D2473" s="10"/>
      <c r="E2473" s="1004"/>
      <c r="F2473" s="10"/>
      <c r="G2473" s="10"/>
    </row>
    <row r="2474" spans="1:7" s="103" customFormat="1">
      <c r="A2474" s="10"/>
      <c r="B2474" s="10"/>
      <c r="C2474" s="10"/>
      <c r="D2474" s="10"/>
      <c r="E2474" s="1004"/>
      <c r="F2474" s="10"/>
      <c r="G2474" s="10"/>
    </row>
    <row r="2475" spans="1:7" s="103" customFormat="1">
      <c r="A2475" s="10"/>
      <c r="B2475" s="10"/>
      <c r="C2475" s="10"/>
      <c r="D2475" s="10"/>
      <c r="E2475" s="1004"/>
      <c r="F2475" s="10"/>
      <c r="G2475" s="10"/>
    </row>
    <row r="2476" spans="1:7" s="103" customFormat="1">
      <c r="A2476" s="10"/>
      <c r="B2476" s="10"/>
      <c r="C2476" s="10"/>
      <c r="D2476" s="10"/>
      <c r="E2476" s="1004"/>
      <c r="F2476" s="10"/>
      <c r="G2476" s="10"/>
    </row>
    <row r="2477" spans="1:7" s="103" customFormat="1">
      <c r="A2477" s="10"/>
      <c r="B2477" s="10"/>
      <c r="C2477" s="10"/>
      <c r="D2477" s="10"/>
      <c r="E2477" s="1004"/>
      <c r="F2477" s="10"/>
      <c r="G2477" s="10"/>
    </row>
    <row r="2478" spans="1:7" s="103" customFormat="1">
      <c r="A2478" s="10"/>
      <c r="B2478" s="10"/>
      <c r="C2478" s="10"/>
      <c r="D2478" s="10"/>
      <c r="E2478" s="1004"/>
      <c r="F2478" s="10"/>
      <c r="G2478" s="10"/>
    </row>
    <row r="2479" spans="1:7" s="103" customFormat="1">
      <c r="A2479" s="10"/>
      <c r="B2479" s="10"/>
      <c r="C2479" s="10"/>
      <c r="D2479" s="10"/>
      <c r="E2479" s="1004"/>
      <c r="F2479" s="10"/>
      <c r="G2479" s="10"/>
    </row>
    <row r="2480" spans="1:7" s="103" customFormat="1">
      <c r="A2480" s="10"/>
      <c r="B2480" s="10"/>
      <c r="C2480" s="10"/>
      <c r="D2480" s="10"/>
      <c r="E2480" s="1004"/>
      <c r="F2480" s="10"/>
      <c r="G2480" s="10"/>
    </row>
    <row r="2481" spans="1:7" s="103" customFormat="1">
      <c r="A2481" s="10"/>
      <c r="B2481" s="10"/>
      <c r="C2481" s="10"/>
      <c r="D2481" s="10"/>
      <c r="E2481" s="1004"/>
      <c r="F2481" s="10"/>
      <c r="G2481" s="10"/>
    </row>
    <row r="2482" spans="1:7" s="103" customFormat="1">
      <c r="A2482" s="10"/>
      <c r="B2482" s="10"/>
      <c r="C2482" s="10"/>
      <c r="D2482" s="10"/>
      <c r="E2482" s="1004"/>
      <c r="F2482" s="10"/>
      <c r="G2482" s="10"/>
    </row>
    <row r="2483" spans="1:7" s="103" customFormat="1">
      <c r="A2483" s="10"/>
      <c r="B2483" s="10"/>
      <c r="C2483" s="10"/>
      <c r="D2483" s="10"/>
      <c r="E2483" s="1004"/>
      <c r="F2483" s="10"/>
      <c r="G2483" s="10"/>
    </row>
    <row r="2484" spans="1:7" s="103" customFormat="1">
      <c r="A2484" s="10"/>
      <c r="B2484" s="10"/>
      <c r="C2484" s="10"/>
      <c r="D2484" s="10"/>
      <c r="E2484" s="1004"/>
      <c r="F2484" s="10"/>
      <c r="G2484" s="10"/>
    </row>
    <row r="2485" spans="1:7" s="103" customFormat="1">
      <c r="A2485" s="10"/>
      <c r="B2485" s="10"/>
      <c r="C2485" s="10"/>
      <c r="D2485" s="10"/>
      <c r="E2485" s="1004"/>
      <c r="F2485" s="10"/>
      <c r="G2485" s="10"/>
    </row>
    <row r="2486" spans="1:7" s="103" customFormat="1">
      <c r="A2486" s="10"/>
      <c r="B2486" s="10"/>
      <c r="C2486" s="10"/>
      <c r="D2486" s="10"/>
      <c r="E2486" s="1004"/>
      <c r="F2486" s="10"/>
      <c r="G2486" s="10"/>
    </row>
    <row r="2487" spans="1:7" s="103" customFormat="1">
      <c r="A2487" s="10"/>
      <c r="B2487" s="10"/>
      <c r="C2487" s="10"/>
      <c r="D2487" s="10"/>
      <c r="E2487" s="1004"/>
      <c r="F2487" s="10"/>
      <c r="G2487" s="10"/>
    </row>
    <row r="2488" spans="1:7" s="103" customFormat="1">
      <c r="A2488" s="10"/>
      <c r="B2488" s="10"/>
      <c r="C2488" s="10"/>
      <c r="D2488" s="10"/>
      <c r="E2488" s="1004"/>
      <c r="F2488" s="10"/>
      <c r="G2488" s="10"/>
    </row>
    <row r="2489" spans="1:7" s="103" customFormat="1">
      <c r="A2489" s="10"/>
      <c r="B2489" s="10"/>
      <c r="C2489" s="10"/>
      <c r="D2489" s="10"/>
      <c r="E2489" s="1004"/>
      <c r="F2489" s="10"/>
      <c r="G2489" s="10"/>
    </row>
    <row r="2490" spans="1:7" s="103" customFormat="1">
      <c r="A2490" s="10"/>
      <c r="B2490" s="10"/>
      <c r="C2490" s="10"/>
      <c r="D2490" s="10"/>
      <c r="E2490" s="1004"/>
      <c r="F2490" s="10"/>
      <c r="G2490" s="10"/>
    </row>
    <row r="2491" spans="1:7" s="103" customFormat="1">
      <c r="A2491" s="10"/>
      <c r="B2491" s="10"/>
      <c r="C2491" s="10"/>
      <c r="D2491" s="10"/>
      <c r="E2491" s="1004"/>
      <c r="F2491" s="10"/>
      <c r="G2491" s="10"/>
    </row>
    <row r="2492" spans="1:7" s="103" customFormat="1">
      <c r="A2492" s="10"/>
      <c r="B2492" s="10"/>
      <c r="C2492" s="10"/>
      <c r="D2492" s="10"/>
      <c r="E2492" s="1004"/>
      <c r="F2492" s="10"/>
      <c r="G2492" s="10"/>
    </row>
    <row r="2493" spans="1:7" s="103" customFormat="1">
      <c r="A2493" s="10"/>
      <c r="B2493" s="10"/>
      <c r="C2493" s="10"/>
      <c r="D2493" s="10"/>
      <c r="E2493" s="1004"/>
      <c r="F2493" s="10"/>
      <c r="G2493" s="10"/>
    </row>
    <row r="2494" spans="1:7" s="103" customFormat="1">
      <c r="A2494" s="10"/>
      <c r="B2494" s="10"/>
      <c r="C2494" s="10"/>
      <c r="D2494" s="10"/>
      <c r="E2494" s="1004"/>
      <c r="F2494" s="10"/>
      <c r="G2494" s="10"/>
    </row>
    <row r="2495" spans="1:7" s="103" customFormat="1">
      <c r="A2495" s="10"/>
      <c r="B2495" s="10"/>
      <c r="C2495" s="10"/>
      <c r="D2495" s="10"/>
      <c r="E2495" s="1004"/>
      <c r="F2495" s="10"/>
      <c r="G2495" s="10"/>
    </row>
    <row r="2496" spans="1:7" s="103" customFormat="1">
      <c r="A2496" s="10"/>
      <c r="B2496" s="10"/>
      <c r="C2496" s="10"/>
      <c r="D2496" s="10"/>
      <c r="E2496" s="1004"/>
      <c r="F2496" s="10"/>
      <c r="G2496" s="10"/>
    </row>
    <row r="2499" spans="1:7" s="103" customFormat="1">
      <c r="A2499" s="10"/>
      <c r="B2499" s="10"/>
      <c r="C2499" s="10"/>
      <c r="D2499" s="10"/>
      <c r="E2499" s="1004"/>
      <c r="F2499" s="10"/>
      <c r="G2499" s="10"/>
    </row>
    <row r="2517" spans="1:7" s="103" customFormat="1">
      <c r="A2517" s="10"/>
      <c r="B2517" s="10"/>
      <c r="C2517" s="10"/>
      <c r="D2517" s="10"/>
      <c r="E2517" s="1004"/>
      <c r="F2517" s="10"/>
      <c r="G2517" s="10"/>
    </row>
    <row r="2536" spans="1:7" s="103" customFormat="1">
      <c r="A2536" s="10"/>
      <c r="B2536" s="10"/>
      <c r="C2536" s="10"/>
      <c r="D2536" s="10"/>
      <c r="E2536" s="1004"/>
      <c r="F2536" s="10"/>
      <c r="G2536" s="10"/>
    </row>
    <row r="2554" spans="1:7" s="103" customFormat="1">
      <c r="A2554" s="10"/>
      <c r="B2554" s="10"/>
      <c r="C2554" s="10"/>
      <c r="D2554" s="10"/>
      <c r="E2554" s="1004"/>
      <c r="F2554" s="10"/>
      <c r="G2554" s="10"/>
    </row>
    <row r="2573" spans="1:7" s="104" customFormat="1">
      <c r="A2573" s="10"/>
      <c r="B2573" s="10"/>
      <c r="C2573" s="10"/>
      <c r="D2573" s="10"/>
      <c r="E2573" s="1004"/>
      <c r="F2573" s="10"/>
      <c r="G2573" s="10"/>
    </row>
  </sheetData>
  <mergeCells count="631">
    <mergeCell ref="D2116:D2117"/>
    <mergeCell ref="E2116:E2117"/>
    <mergeCell ref="A2136:A2137"/>
    <mergeCell ref="A2248:A2249"/>
    <mergeCell ref="D2184:D2185"/>
    <mergeCell ref="C2184:C2185"/>
    <mergeCell ref="B2184:B2185"/>
    <mergeCell ref="A2184:A2185"/>
    <mergeCell ref="E2097:E2098"/>
    <mergeCell ref="A2116:A2117"/>
    <mergeCell ref="B2116:B2117"/>
    <mergeCell ref="C2116:C2117"/>
    <mergeCell ref="A2228:A2229"/>
    <mergeCell ref="B2228:B2229"/>
    <mergeCell ref="C2228:C2229"/>
    <mergeCell ref="D2228:D2229"/>
    <mergeCell ref="E2228:E2229"/>
    <mergeCell ref="A2097:A2098"/>
    <mergeCell ref="B2097:B2098"/>
    <mergeCell ref="C2097:C2098"/>
    <mergeCell ref="D2097:D2098"/>
    <mergeCell ref="E2198:F2198"/>
    <mergeCell ref="B2199:F2199"/>
    <mergeCell ref="B2200:D2200"/>
    <mergeCell ref="A2381:A2382"/>
    <mergeCell ref="B2381:B2382"/>
    <mergeCell ref="C2381:C2382"/>
    <mergeCell ref="D2381:D2382"/>
    <mergeCell ref="E2381:E2382"/>
    <mergeCell ref="B2248:B2249"/>
    <mergeCell ref="C2248:C2249"/>
    <mergeCell ref="D2248:D2249"/>
    <mergeCell ref="E2248:E2249"/>
    <mergeCell ref="A2276:A2277"/>
    <mergeCell ref="B2276:B2277"/>
    <mergeCell ref="C2276:C2277"/>
    <mergeCell ref="D2276:D2277"/>
    <mergeCell ref="E2276:E2277"/>
    <mergeCell ref="A2297:A2298"/>
    <mergeCell ref="B2297:B2298"/>
    <mergeCell ref="C2297:C2298"/>
    <mergeCell ref="D2297:D2298"/>
    <mergeCell ref="E2297:E2298"/>
    <mergeCell ref="A2312:A2313"/>
    <mergeCell ref="B2312:B2313"/>
    <mergeCell ref="C2312:C2313"/>
    <mergeCell ref="D2312:D2313"/>
    <mergeCell ref="E2312:E2313"/>
    <mergeCell ref="A2345:A2346"/>
    <mergeCell ref="B2345:B2346"/>
    <mergeCell ref="C2345:C2346"/>
    <mergeCell ref="D2345:D2346"/>
    <mergeCell ref="E2345:E2346"/>
    <mergeCell ref="A1989:A1990"/>
    <mergeCell ref="B1989:B1990"/>
    <mergeCell ref="C1989:C1990"/>
    <mergeCell ref="D1989:D1990"/>
    <mergeCell ref="E1989:E1990"/>
    <mergeCell ref="E1996:F1996"/>
    <mergeCell ref="E2000:F2000"/>
    <mergeCell ref="E2002:F2002"/>
    <mergeCell ref="B2003:F2003"/>
    <mergeCell ref="B2004:D2004"/>
    <mergeCell ref="B2005:F2005"/>
    <mergeCell ref="A2008:A2009"/>
    <mergeCell ref="B2008:B2009"/>
    <mergeCell ref="C2008:C2009"/>
    <mergeCell ref="D2008:D2009"/>
    <mergeCell ref="E2008:E2009"/>
    <mergeCell ref="E2015:F2015"/>
    <mergeCell ref="E2019:F2019"/>
    <mergeCell ref="E2058:E2059"/>
    <mergeCell ref="E2039:F2039"/>
    <mergeCell ref="E2042:F2042"/>
    <mergeCell ref="B2043:F2043"/>
    <mergeCell ref="B2044:D2044"/>
    <mergeCell ref="B2045:F2045"/>
    <mergeCell ref="E2065:F2065"/>
    <mergeCell ref="B2023:F2023"/>
    <mergeCell ref="B2024:D2024"/>
    <mergeCell ref="B2025:F2025"/>
    <mergeCell ref="A387:G387"/>
    <mergeCell ref="E394:F394"/>
    <mergeCell ref="E401:F401"/>
    <mergeCell ref="E404:F404"/>
    <mergeCell ref="B405:F405"/>
    <mergeCell ref="B406:D406"/>
    <mergeCell ref="B407:F407"/>
    <mergeCell ref="A388:A389"/>
    <mergeCell ref="B388:B389"/>
    <mergeCell ref="C388:C389"/>
    <mergeCell ref="D388:D389"/>
    <mergeCell ref="E388:E389"/>
    <mergeCell ref="A1273:A1274"/>
    <mergeCell ref="B1273:B1274"/>
    <mergeCell ref="C1273:C1274"/>
    <mergeCell ref="D1273:D1274"/>
    <mergeCell ref="A1346:A1347"/>
    <mergeCell ref="B1346:B1347"/>
    <mergeCell ref="C1346:C1347"/>
    <mergeCell ref="D1346:D1347"/>
    <mergeCell ref="B1253:B1254"/>
    <mergeCell ref="C1253:C1254"/>
    <mergeCell ref="D1253:D1254"/>
    <mergeCell ref="A1306:A1307"/>
    <mergeCell ref="C1306:C1307"/>
    <mergeCell ref="D1306:D1307"/>
    <mergeCell ref="A1151:A1152"/>
    <mergeCell ref="B1151:B1152"/>
    <mergeCell ref="C1151:C1152"/>
    <mergeCell ref="D1151:D1152"/>
    <mergeCell ref="E1151:E1152"/>
    <mergeCell ref="B1171:B1172"/>
    <mergeCell ref="C1052:C1053"/>
    <mergeCell ref="D1052:D1053"/>
    <mergeCell ref="E1052:E1053"/>
    <mergeCell ref="A1116:A1117"/>
    <mergeCell ref="B1116:B1117"/>
    <mergeCell ref="A1052:A1053"/>
    <mergeCell ref="B1052:B1053"/>
    <mergeCell ref="E1306:E1307"/>
    <mergeCell ref="E1273:E1274"/>
    <mergeCell ref="C1116:C1117"/>
    <mergeCell ref="D1116:D1117"/>
    <mergeCell ref="E1116:E1117"/>
    <mergeCell ref="C1171:C1172"/>
    <mergeCell ref="D1171:D1172"/>
    <mergeCell ref="E1171:E1172"/>
    <mergeCell ref="E1253:E1254"/>
    <mergeCell ref="A108:A109"/>
    <mergeCell ref="B108:B109"/>
    <mergeCell ref="C108:C109"/>
    <mergeCell ref="D108:D109"/>
    <mergeCell ref="E108:E109"/>
    <mergeCell ref="A1253:A1254"/>
    <mergeCell ref="E783:E784"/>
    <mergeCell ref="A717:A718"/>
    <mergeCell ref="B717:B718"/>
    <mergeCell ref="A736:A737"/>
    <mergeCell ref="B736:B737"/>
    <mergeCell ref="C736:C737"/>
    <mergeCell ref="D736:D737"/>
    <mergeCell ref="E736:E737"/>
    <mergeCell ref="D1010:D1011"/>
    <mergeCell ref="E1010:E1011"/>
    <mergeCell ref="B1010:B1011"/>
    <mergeCell ref="C1010:C1011"/>
    <mergeCell ref="B1031:B1032"/>
    <mergeCell ref="C1031:C1032"/>
    <mergeCell ref="D1031:D1032"/>
    <mergeCell ref="C1191:C1192"/>
    <mergeCell ref="D1191:D1192"/>
    <mergeCell ref="E1191:E1192"/>
    <mergeCell ref="A832:A833"/>
    <mergeCell ref="A1:G1"/>
    <mergeCell ref="A2:G2"/>
    <mergeCell ref="B130:B131"/>
    <mergeCell ref="C130:C131"/>
    <mergeCell ref="D130:D131"/>
    <mergeCell ref="E130:E131"/>
    <mergeCell ref="B197:B198"/>
    <mergeCell ref="C197:C198"/>
    <mergeCell ref="D197:D198"/>
    <mergeCell ref="E197:E198"/>
    <mergeCell ref="D39:D40"/>
    <mergeCell ref="E39:E40"/>
    <mergeCell ref="A54:A55"/>
    <mergeCell ref="B54:B55"/>
    <mergeCell ref="A463:A464"/>
    <mergeCell ref="B463:B464"/>
    <mergeCell ref="C463:C464"/>
    <mergeCell ref="D463:D464"/>
    <mergeCell ref="E463:E464"/>
    <mergeCell ref="A263:A264"/>
    <mergeCell ref="B263:B264"/>
    <mergeCell ref="C263:C264"/>
    <mergeCell ref="C217:C218"/>
    <mergeCell ref="D263:D264"/>
    <mergeCell ref="E263:E264"/>
    <mergeCell ref="A285:A286"/>
    <mergeCell ref="B285:B286"/>
    <mergeCell ref="E341:F341"/>
    <mergeCell ref="E327:F327"/>
    <mergeCell ref="B328:F328"/>
    <mergeCell ref="B355:D355"/>
    <mergeCell ref="B356:F356"/>
    <mergeCell ref="B329:D329"/>
    <mergeCell ref="B330:F330"/>
    <mergeCell ref="B217:B218"/>
    <mergeCell ref="A151:A152"/>
    <mergeCell ref="B151:B152"/>
    <mergeCell ref="C151:C152"/>
    <mergeCell ref="D151:D152"/>
    <mergeCell ref="E151:E152"/>
    <mergeCell ref="A130:A131"/>
    <mergeCell ref="A171:A172"/>
    <mergeCell ref="B171:B172"/>
    <mergeCell ref="A24:A25"/>
    <mergeCell ref="B24:B25"/>
    <mergeCell ref="C24:C25"/>
    <mergeCell ref="C54:C55"/>
    <mergeCell ref="D54:D55"/>
    <mergeCell ref="E54:E55"/>
    <mergeCell ref="A90:A91"/>
    <mergeCell ref="B90:B91"/>
    <mergeCell ref="C90:C91"/>
    <mergeCell ref="D90:D91"/>
    <mergeCell ref="E90:E91"/>
    <mergeCell ref="D24:D25"/>
    <mergeCell ref="E24:E25"/>
    <mergeCell ref="A39:A40"/>
    <mergeCell ref="B39:B40"/>
    <mergeCell ref="C39:C40"/>
    <mergeCell ref="A5:A6"/>
    <mergeCell ref="B5:B6"/>
    <mergeCell ref="C5:C6"/>
    <mergeCell ref="D5:D6"/>
    <mergeCell ref="E5:E6"/>
    <mergeCell ref="E502:E503"/>
    <mergeCell ref="C171:C172"/>
    <mergeCell ref="D171:D172"/>
    <mergeCell ref="E171:E172"/>
    <mergeCell ref="E351:F351"/>
    <mergeCell ref="E353:F353"/>
    <mergeCell ref="B354:F354"/>
    <mergeCell ref="E285:E286"/>
    <mergeCell ref="A241:A242"/>
    <mergeCell ref="B241:B242"/>
    <mergeCell ref="C241:C242"/>
    <mergeCell ref="D241:D242"/>
    <mergeCell ref="E241:E242"/>
    <mergeCell ref="A482:A483"/>
    <mergeCell ref="B482:B483"/>
    <mergeCell ref="C482:C483"/>
    <mergeCell ref="D482:D483"/>
    <mergeCell ref="E482:E483"/>
    <mergeCell ref="A73:G73"/>
    <mergeCell ref="A523:A524"/>
    <mergeCell ref="B523:B524"/>
    <mergeCell ref="C523:C524"/>
    <mergeCell ref="D523:D524"/>
    <mergeCell ref="E523:E524"/>
    <mergeCell ref="B414:B415"/>
    <mergeCell ref="C414:C415"/>
    <mergeCell ref="D414:D415"/>
    <mergeCell ref="A361:A362"/>
    <mergeCell ref="B361:B362"/>
    <mergeCell ref="C361:C362"/>
    <mergeCell ref="A432:A433"/>
    <mergeCell ref="B432:B433"/>
    <mergeCell ref="C432:C433"/>
    <mergeCell ref="D432:D433"/>
    <mergeCell ref="E432:E433"/>
    <mergeCell ref="A414:A415"/>
    <mergeCell ref="E414:E415"/>
    <mergeCell ref="D361:D362"/>
    <mergeCell ref="E361:E362"/>
    <mergeCell ref="A502:A503"/>
    <mergeCell ref="B502:B503"/>
    <mergeCell ref="C502:C503"/>
    <mergeCell ref="D502:D503"/>
    <mergeCell ref="A561:A562"/>
    <mergeCell ref="B561:B562"/>
    <mergeCell ref="C561:C562"/>
    <mergeCell ref="D561:D562"/>
    <mergeCell ref="E561:E562"/>
    <mergeCell ref="A542:A543"/>
    <mergeCell ref="B542:B543"/>
    <mergeCell ref="C542:C543"/>
    <mergeCell ref="D542:D543"/>
    <mergeCell ref="E542:E543"/>
    <mergeCell ref="A580:A581"/>
    <mergeCell ref="B580:B581"/>
    <mergeCell ref="C580:C581"/>
    <mergeCell ref="D580:D581"/>
    <mergeCell ref="E580:E581"/>
    <mergeCell ref="A599:A600"/>
    <mergeCell ref="B599:B600"/>
    <mergeCell ref="C599:C600"/>
    <mergeCell ref="D599:D600"/>
    <mergeCell ref="E599:E600"/>
    <mergeCell ref="A619:A620"/>
    <mergeCell ref="B619:B620"/>
    <mergeCell ref="C619:C620"/>
    <mergeCell ref="D619:D620"/>
    <mergeCell ref="E619:E620"/>
    <mergeCell ref="A639:A640"/>
    <mergeCell ref="B639:B640"/>
    <mergeCell ref="C639:C640"/>
    <mergeCell ref="D639:D640"/>
    <mergeCell ref="E639:E640"/>
    <mergeCell ref="A658:A659"/>
    <mergeCell ref="B658:B659"/>
    <mergeCell ref="C658:C659"/>
    <mergeCell ref="C717:C718"/>
    <mergeCell ref="D717:D718"/>
    <mergeCell ref="E717:E718"/>
    <mergeCell ref="A807:A808"/>
    <mergeCell ref="B807:B808"/>
    <mergeCell ref="C807:C808"/>
    <mergeCell ref="D807:D808"/>
    <mergeCell ref="E807:E808"/>
    <mergeCell ref="D658:D659"/>
    <mergeCell ref="E658:E659"/>
    <mergeCell ref="C763:C764"/>
    <mergeCell ref="D763:D764"/>
    <mergeCell ref="E763:E764"/>
    <mergeCell ref="B695:B696"/>
    <mergeCell ref="C783:C784"/>
    <mergeCell ref="D783:D784"/>
    <mergeCell ref="C695:C696"/>
    <mergeCell ref="D695:D696"/>
    <mergeCell ref="E695:E696"/>
    <mergeCell ref="A695:A696"/>
    <mergeCell ref="A763:A764"/>
    <mergeCell ref="E942:E943"/>
    <mergeCell ref="A961:A962"/>
    <mergeCell ref="B961:B962"/>
    <mergeCell ref="D961:D962"/>
    <mergeCell ref="E961:E962"/>
    <mergeCell ref="C961:C962"/>
    <mergeCell ref="B783:B784"/>
    <mergeCell ref="E923:E924"/>
    <mergeCell ref="E874:E875"/>
    <mergeCell ref="A852:A853"/>
    <mergeCell ref="B852:B853"/>
    <mergeCell ref="C852:C853"/>
    <mergeCell ref="D852:D853"/>
    <mergeCell ref="A923:A924"/>
    <mergeCell ref="B923:B924"/>
    <mergeCell ref="A874:A875"/>
    <mergeCell ref="B874:B875"/>
    <mergeCell ref="C874:C875"/>
    <mergeCell ref="D874:D875"/>
    <mergeCell ref="D923:D924"/>
    <mergeCell ref="A942:A943"/>
    <mergeCell ref="B942:B943"/>
    <mergeCell ref="C942:C943"/>
    <mergeCell ref="D942:D943"/>
    <mergeCell ref="B763:B764"/>
    <mergeCell ref="B832:B833"/>
    <mergeCell ref="C832:C833"/>
    <mergeCell ref="D1211:D1212"/>
    <mergeCell ref="E1211:E1212"/>
    <mergeCell ref="A1171:A1172"/>
    <mergeCell ref="A1211:A1212"/>
    <mergeCell ref="E1458:E1459"/>
    <mergeCell ref="A1477:A1478"/>
    <mergeCell ref="B1477:B1478"/>
    <mergeCell ref="C1477:C1478"/>
    <mergeCell ref="D1477:D1478"/>
    <mergeCell ref="E1477:E1478"/>
    <mergeCell ref="A1437:A1438"/>
    <mergeCell ref="B1437:B1438"/>
    <mergeCell ref="C1437:C1438"/>
    <mergeCell ref="D1437:D1438"/>
    <mergeCell ref="A1230:A1231"/>
    <mergeCell ref="B1230:B1231"/>
    <mergeCell ref="C1230:C1231"/>
    <mergeCell ref="D1230:D1231"/>
    <mergeCell ref="A1304:G1304"/>
    <mergeCell ref="A1305:G1305"/>
    <mergeCell ref="E1230:E1231"/>
    <mergeCell ref="F2393:G2393"/>
    <mergeCell ref="F2394:G2394"/>
    <mergeCell ref="F2395:G2395"/>
    <mergeCell ref="F2396:G2396"/>
    <mergeCell ref="F2397:G2397"/>
    <mergeCell ref="A1401:A1402"/>
    <mergeCell ref="B1401:B1402"/>
    <mergeCell ref="E1516:E1517"/>
    <mergeCell ref="A1560:A1561"/>
    <mergeCell ref="B1560:B1561"/>
    <mergeCell ref="C1401:C1402"/>
    <mergeCell ref="D1401:D1402"/>
    <mergeCell ref="E1401:E1402"/>
    <mergeCell ref="A1419:A1420"/>
    <mergeCell ref="B1419:B1420"/>
    <mergeCell ref="C1419:C1420"/>
    <mergeCell ref="D1419:D1420"/>
    <mergeCell ref="E1419:E1420"/>
    <mergeCell ref="A1496:A1497"/>
    <mergeCell ref="B1496:B1497"/>
    <mergeCell ref="A1878:A1879"/>
    <mergeCell ref="B1878:B1879"/>
    <mergeCell ref="C1878:C1879"/>
    <mergeCell ref="D1878:D1879"/>
    <mergeCell ref="C2136:C2137"/>
    <mergeCell ref="D2136:D2137"/>
    <mergeCell ref="E2207:E2208"/>
    <mergeCell ref="E2191:F2191"/>
    <mergeCell ref="E2196:F2196"/>
    <mergeCell ref="A1328:A1329"/>
    <mergeCell ref="B1328:B1329"/>
    <mergeCell ref="C1328:C1329"/>
    <mergeCell ref="F2392:G2392"/>
    <mergeCell ref="D1328:D1329"/>
    <mergeCell ref="E1328:E1329"/>
    <mergeCell ref="A1364:A1365"/>
    <mergeCell ref="B1364:B1365"/>
    <mergeCell ref="C1364:C1365"/>
    <mergeCell ref="D1364:D1365"/>
    <mergeCell ref="E1364:E1365"/>
    <mergeCell ref="E1346:E1347"/>
    <mergeCell ref="E1878:E1879"/>
    <mergeCell ref="A1383:A1384"/>
    <mergeCell ref="B1383:B1384"/>
    <mergeCell ref="C1383:C1384"/>
    <mergeCell ref="D1383:D1384"/>
    <mergeCell ref="E1383:E1384"/>
    <mergeCell ref="E2035:F2035"/>
    <mergeCell ref="A1786:A1787"/>
    <mergeCell ref="D1458:D1459"/>
    <mergeCell ref="D1600:D1601"/>
    <mergeCell ref="E1600:E1601"/>
    <mergeCell ref="A1677:A1678"/>
    <mergeCell ref="F2398:G2398"/>
    <mergeCell ref="F2399:G2399"/>
    <mergeCell ref="E2136:E2137"/>
    <mergeCell ref="E2162:F2162"/>
    <mergeCell ref="E2173:F2173"/>
    <mergeCell ref="E2176:F2176"/>
    <mergeCell ref="B2178:F2178"/>
    <mergeCell ref="B2179:D2179"/>
    <mergeCell ref="B2223:D2223"/>
    <mergeCell ref="B2224:F2224"/>
    <mergeCell ref="B2225:F2225"/>
    <mergeCell ref="E2214:F2214"/>
    <mergeCell ref="E2219:F2219"/>
    <mergeCell ref="E2221:F2221"/>
    <mergeCell ref="B2222:F2222"/>
    <mergeCell ref="B2180:F2180"/>
    <mergeCell ref="B2181:F2181"/>
    <mergeCell ref="D2207:D2208"/>
    <mergeCell ref="B2136:B2137"/>
    <mergeCell ref="D1744:D1745"/>
    <mergeCell ref="E1786:E1787"/>
    <mergeCell ref="E1658:E1659"/>
    <mergeCell ref="C1768:C1769"/>
    <mergeCell ref="D1768:D1769"/>
    <mergeCell ref="E1768:E1769"/>
    <mergeCell ref="C1860:C1861"/>
    <mergeCell ref="D1860:D1861"/>
    <mergeCell ref="E1860:E1861"/>
    <mergeCell ref="A2078:A2079"/>
    <mergeCell ref="B2078:B2079"/>
    <mergeCell ref="C2078:C2079"/>
    <mergeCell ref="D2078:D2079"/>
    <mergeCell ref="E2078:E2079"/>
    <mergeCell ref="A1970:A1971"/>
    <mergeCell ref="B1970:B1971"/>
    <mergeCell ref="D1913:D1914"/>
    <mergeCell ref="E1913:E1914"/>
    <mergeCell ref="E2022:F2022"/>
    <mergeCell ref="E2069:F2069"/>
    <mergeCell ref="E2072:F2072"/>
    <mergeCell ref="B2073:F2073"/>
    <mergeCell ref="B2074:D2074"/>
    <mergeCell ref="B2075:F2075"/>
    <mergeCell ref="A2028:A2029"/>
    <mergeCell ref="B2028:B2029"/>
    <mergeCell ref="C2028:C2029"/>
    <mergeCell ref="D2028:D2029"/>
    <mergeCell ref="E2028:E2029"/>
    <mergeCell ref="A2058:A2059"/>
    <mergeCell ref="B2058:B2059"/>
    <mergeCell ref="C2058:C2059"/>
    <mergeCell ref="D2058:D2059"/>
    <mergeCell ref="D1970:D1971"/>
    <mergeCell ref="E1581:E1582"/>
    <mergeCell ref="D1716:D1717"/>
    <mergeCell ref="E1716:E1717"/>
    <mergeCell ref="A1696:A1697"/>
    <mergeCell ref="B1696:B1697"/>
    <mergeCell ref="C1696:C1697"/>
    <mergeCell ref="D1696:D1697"/>
    <mergeCell ref="E1696:E1697"/>
    <mergeCell ref="A1658:A1659"/>
    <mergeCell ref="B1658:B1659"/>
    <mergeCell ref="C1658:C1659"/>
    <mergeCell ref="D1658:D1659"/>
    <mergeCell ref="A1638:A1639"/>
    <mergeCell ref="A1716:A1717"/>
    <mergeCell ref="B1716:B1717"/>
    <mergeCell ref="C1716:C1717"/>
    <mergeCell ref="C1581:C1582"/>
    <mergeCell ref="C1970:C1971"/>
    <mergeCell ref="C1913:C1914"/>
    <mergeCell ref="A1599:G1599"/>
    <mergeCell ref="A1600:A1601"/>
    <mergeCell ref="B1600:B1601"/>
    <mergeCell ref="C1600:C1601"/>
    <mergeCell ref="B1677:B1678"/>
    <mergeCell ref="C1677:C1678"/>
    <mergeCell ref="D1677:D1678"/>
    <mergeCell ref="E1677:E1678"/>
    <mergeCell ref="A1913:A1914"/>
    <mergeCell ref="B1913:B1914"/>
    <mergeCell ref="E1951:E1952"/>
    <mergeCell ref="B1768:B1769"/>
    <mergeCell ref="A1951:A1952"/>
    <mergeCell ref="B1951:B1952"/>
    <mergeCell ref="C1951:C1952"/>
    <mergeCell ref="D1951:D1952"/>
    <mergeCell ref="B1932:B1933"/>
    <mergeCell ref="C1932:C1933"/>
    <mergeCell ref="D1932:D1933"/>
    <mergeCell ref="E1932:E1933"/>
    <mergeCell ref="D1804:D1805"/>
    <mergeCell ref="A1744:A1745"/>
    <mergeCell ref="B1744:B1745"/>
    <mergeCell ref="E1744:E1745"/>
    <mergeCell ref="A1860:A1861"/>
    <mergeCell ref="B1860:B1861"/>
    <mergeCell ref="E1804:E1805"/>
    <mergeCell ref="C1744:C1745"/>
    <mergeCell ref="C1638:C1639"/>
    <mergeCell ref="D1638:D1639"/>
    <mergeCell ref="E1638:E1639"/>
    <mergeCell ref="E1539:E1540"/>
    <mergeCell ref="B1638:B1639"/>
    <mergeCell ref="A1539:A1540"/>
    <mergeCell ref="A1516:A1517"/>
    <mergeCell ref="B1516:B1517"/>
    <mergeCell ref="C1516:C1517"/>
    <mergeCell ref="D1516:D1517"/>
    <mergeCell ref="B1581:B1582"/>
    <mergeCell ref="A1619:A1620"/>
    <mergeCell ref="B1619:B1620"/>
    <mergeCell ref="C1619:C1620"/>
    <mergeCell ref="D1619:D1620"/>
    <mergeCell ref="E1619:E1620"/>
    <mergeCell ref="B1539:B1540"/>
    <mergeCell ref="C1539:C1540"/>
    <mergeCell ref="D1539:D1540"/>
    <mergeCell ref="A904:A905"/>
    <mergeCell ref="B904:B905"/>
    <mergeCell ref="C989:C990"/>
    <mergeCell ref="D989:D990"/>
    <mergeCell ref="J1306:P1306"/>
    <mergeCell ref="A2157:A2158"/>
    <mergeCell ref="B2157:B2158"/>
    <mergeCell ref="C2157:C2158"/>
    <mergeCell ref="D2157:D2158"/>
    <mergeCell ref="E2157:E2158"/>
    <mergeCell ref="A1842:A1843"/>
    <mergeCell ref="B1842:B1843"/>
    <mergeCell ref="C1842:C1843"/>
    <mergeCell ref="D1842:D1843"/>
    <mergeCell ref="E1842:E1843"/>
    <mergeCell ref="A1804:A1805"/>
    <mergeCell ref="B1804:B1805"/>
    <mergeCell ref="C1804:C1805"/>
    <mergeCell ref="A1822:A1823"/>
    <mergeCell ref="B1822:B1823"/>
    <mergeCell ref="C1822:C1823"/>
    <mergeCell ref="D1822:D1823"/>
    <mergeCell ref="A1768:A1769"/>
    <mergeCell ref="A1932:A1933"/>
    <mergeCell ref="B2201:F2201"/>
    <mergeCell ref="B2202:F2202"/>
    <mergeCell ref="A74:A75"/>
    <mergeCell ref="B74:B75"/>
    <mergeCell ref="C74:C75"/>
    <mergeCell ref="D74:D75"/>
    <mergeCell ref="E74:E75"/>
    <mergeCell ref="D832:D833"/>
    <mergeCell ref="E832:E833"/>
    <mergeCell ref="A197:A198"/>
    <mergeCell ref="A217:A218"/>
    <mergeCell ref="D217:D218"/>
    <mergeCell ref="E217:E218"/>
    <mergeCell ref="E316:F316"/>
    <mergeCell ref="E325:F325"/>
    <mergeCell ref="C285:C286"/>
    <mergeCell ref="D285:D286"/>
    <mergeCell ref="A783:A784"/>
    <mergeCell ref="E989:E990"/>
    <mergeCell ref="E1822:E1823"/>
    <mergeCell ref="E1970:E1971"/>
    <mergeCell ref="B1786:B1787"/>
    <mergeCell ref="C1786:C1787"/>
    <mergeCell ref="D1786:D1787"/>
    <mergeCell ref="A2362:A2363"/>
    <mergeCell ref="B2362:B2363"/>
    <mergeCell ref="C2362:C2363"/>
    <mergeCell ref="D2362:D2363"/>
    <mergeCell ref="E2362:E2363"/>
    <mergeCell ref="E852:E853"/>
    <mergeCell ref="C1075:C1076"/>
    <mergeCell ref="D1075:D1076"/>
    <mergeCell ref="E1075:E1076"/>
    <mergeCell ref="A1095:A1096"/>
    <mergeCell ref="B1095:B1096"/>
    <mergeCell ref="C1095:C1096"/>
    <mergeCell ref="D1095:D1096"/>
    <mergeCell ref="E1095:E1096"/>
    <mergeCell ref="C904:C905"/>
    <mergeCell ref="D904:D905"/>
    <mergeCell ref="E904:E905"/>
    <mergeCell ref="C923:C924"/>
    <mergeCell ref="E2184:E2185"/>
    <mergeCell ref="A989:A990"/>
    <mergeCell ref="B989:B990"/>
    <mergeCell ref="A2207:A2208"/>
    <mergeCell ref="B2207:B2208"/>
    <mergeCell ref="C2207:C2208"/>
    <mergeCell ref="A1010:A1011"/>
    <mergeCell ref="A1075:A1076"/>
    <mergeCell ref="B1075:B1076"/>
    <mergeCell ref="A1031:A1032"/>
    <mergeCell ref="E1560:E1561"/>
    <mergeCell ref="A1618:G1618"/>
    <mergeCell ref="A1581:A1582"/>
    <mergeCell ref="A1191:A1192"/>
    <mergeCell ref="B1191:B1192"/>
    <mergeCell ref="E1437:E1438"/>
    <mergeCell ref="C1560:C1561"/>
    <mergeCell ref="D1560:D1561"/>
    <mergeCell ref="D1581:D1582"/>
    <mergeCell ref="A1580:G1580"/>
    <mergeCell ref="C1496:C1497"/>
    <mergeCell ref="D1496:D1497"/>
    <mergeCell ref="E1496:E1497"/>
    <mergeCell ref="A1458:A1459"/>
    <mergeCell ref="B1458:B1459"/>
    <mergeCell ref="C1458:C1459"/>
    <mergeCell ref="E1031:E1032"/>
    <mergeCell ref="B1211:B1212"/>
    <mergeCell ref="C1211:C1212"/>
    <mergeCell ref="B1306:B1307"/>
  </mergeCells>
  <pageMargins left="0.8" right="0.2" top="0.5" bottom="0.5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zoomScale="91" zoomScaleNormal="91" workbookViewId="0">
      <selection activeCell="F36" sqref="F36"/>
    </sheetView>
  </sheetViews>
  <sheetFormatPr defaultRowHeight="14.25"/>
  <cols>
    <col min="1" max="1" width="4.375" style="649" customWidth="1"/>
    <col min="2" max="2" width="6.875" style="649" customWidth="1"/>
    <col min="3" max="3" width="45.75" style="649" customWidth="1"/>
    <col min="4" max="4" width="55.375" style="649" customWidth="1"/>
    <col min="5" max="5" width="14.5" style="649" customWidth="1"/>
    <col min="6" max="6" width="10.5" style="649" customWidth="1"/>
    <col min="7" max="7" width="14.75" customWidth="1"/>
  </cols>
  <sheetData>
    <row r="1" spans="1:6" ht="18">
      <c r="A1" s="1890" t="s">
        <v>301</v>
      </c>
      <c r="B1" s="1890"/>
      <c r="C1" s="1890"/>
      <c r="D1" s="1890"/>
      <c r="E1" s="1890"/>
    </row>
    <row r="2" spans="1:6" ht="18">
      <c r="A2" s="1890" t="s">
        <v>1030</v>
      </c>
      <c r="B2" s="1890"/>
      <c r="C2" s="1890"/>
      <c r="D2" s="1890"/>
      <c r="E2" s="1890"/>
    </row>
    <row r="3" spans="1:6" ht="8.25" customHeight="1" thickBot="1">
      <c r="A3" s="757"/>
      <c r="B3" s="758"/>
      <c r="C3" s="758"/>
      <c r="D3" s="758"/>
      <c r="E3" s="759"/>
    </row>
    <row r="4" spans="1:6" ht="15.75" thickTop="1">
      <c r="A4" s="760" t="s">
        <v>0</v>
      </c>
      <c r="B4" s="1887" t="s">
        <v>97</v>
      </c>
      <c r="C4" s="1888"/>
      <c r="D4" s="1889"/>
      <c r="E4" s="761" t="s">
        <v>98</v>
      </c>
    </row>
    <row r="5" spans="1:6" ht="15.75" thickBot="1">
      <c r="A5" s="762">
        <v>1</v>
      </c>
      <c r="B5" s="1884">
        <v>2</v>
      </c>
      <c r="C5" s="1885"/>
      <c r="D5" s="1886"/>
      <c r="E5" s="763">
        <v>3</v>
      </c>
    </row>
    <row r="6" spans="1:6" ht="9" customHeight="1" thickTop="1">
      <c r="A6" s="764"/>
      <c r="B6" s="765"/>
      <c r="C6" s="766"/>
      <c r="D6" s="767"/>
      <c r="E6" s="768"/>
    </row>
    <row r="7" spans="1:6" ht="15">
      <c r="A7" s="769" t="s">
        <v>281</v>
      </c>
      <c r="B7" s="770" t="str">
        <f>Analisa!A3</f>
        <v>1.6   PEKERJAAN PEMBONGKARAN</v>
      </c>
      <c r="C7" s="771"/>
      <c r="D7" s="772"/>
      <c r="E7" s="773"/>
    </row>
    <row r="8" spans="1:6">
      <c r="A8" s="769">
        <v>1</v>
      </c>
      <c r="B8" s="774" t="str">
        <f>Analisa!A4</f>
        <v>1.6.1  Bongkar 1 M³ pasangan batu (manual) untuk bangunan gedung</v>
      </c>
      <c r="C8" s="775"/>
      <c r="D8" s="772"/>
      <c r="E8" s="776">
        <f>Analisa!G20</f>
        <v>184745</v>
      </c>
    </row>
    <row r="9" spans="1:6" ht="11.25" customHeight="1">
      <c r="A9" s="769"/>
      <c r="B9" s="774"/>
      <c r="C9" s="775"/>
      <c r="D9" s="772"/>
      <c r="E9" s="773"/>
    </row>
    <row r="10" spans="1:6" s="111" customFormat="1" ht="17.25" customHeight="1">
      <c r="A10" s="769" t="s">
        <v>281</v>
      </c>
      <c r="B10" s="770" t="str">
        <f>Analisa!A22</f>
        <v>1.7   PEKERJAAN TANAH</v>
      </c>
      <c r="C10" s="771"/>
      <c r="D10" s="772"/>
      <c r="E10" s="773"/>
      <c r="F10" s="649"/>
    </row>
    <row r="11" spans="1:6" s="111" customFormat="1" ht="11.25" customHeight="1">
      <c r="A11" s="769">
        <v>1</v>
      </c>
      <c r="B11" s="774" t="str">
        <f>Analisa!A23</f>
        <v>1.7.1  Penggalian 1 M³  tanah berbatu sedalam &gt; 0 s.d. 1 m (Peraturan Menteri PUPR. Nomor 8 Tahun 2023 Lampiran B U.3.4.2.a.1 (a))</v>
      </c>
      <c r="C11" s="775"/>
      <c r="D11" s="772"/>
      <c r="E11" s="776">
        <f>Analisa!G36</f>
        <v>218456.7</v>
      </c>
      <c r="F11" s="649"/>
    </row>
    <row r="12" spans="1:6" s="111" customFormat="1" ht="11.25" customHeight="1">
      <c r="A12" s="769">
        <v>2</v>
      </c>
      <c r="B12" s="774" t="str">
        <f>Analisa!A38</f>
        <v>1.7.2  Penggalian 1 M³   tanah berbatu sedalam &gt; 1 s.d. 2 m (Peraturan Menteri PUPR. Nomor 8 Tahun 2023 Lampiran B U.3.4.2.a.2 (a))</v>
      </c>
      <c r="C12" s="775"/>
      <c r="D12" s="772"/>
      <c r="E12" s="776">
        <f>Analisa!G51</f>
        <v>242550</v>
      </c>
      <c r="F12" s="649"/>
    </row>
    <row r="13" spans="1:6" s="111" customFormat="1" ht="11.25" customHeight="1">
      <c r="A13" s="769">
        <v>3</v>
      </c>
      <c r="B13" s="774" t="str">
        <f>Analisa!A53</f>
        <v>1.7.3  Penggalian 1 M³    tanah berbatu sedalam &gt; 2 s.d. 3 m (Peraturan Menteri PUPR. Nomor 8 Tahun 2023 Lampiran B U.3.4.2.a.3 (a))</v>
      </c>
      <c r="C13" s="775"/>
      <c r="D13" s="772"/>
      <c r="E13" s="776">
        <f>Analisa!G66</f>
        <v>266805</v>
      </c>
      <c r="F13" s="649"/>
    </row>
    <row r="14" spans="1:6" s="111" customFormat="1" ht="11.25" customHeight="1">
      <c r="A14" s="779"/>
      <c r="B14" s="780"/>
      <c r="C14" s="781"/>
      <c r="D14" s="782"/>
      <c r="E14" s="783"/>
      <c r="F14" s="649"/>
    </row>
    <row r="15" spans="1:6" s="111" customFormat="1" ht="11.25" customHeight="1">
      <c r="A15" s="779"/>
      <c r="B15" s="780" t="str">
        <f>Analisa!A73</f>
        <v>1.7.5  1 M³  Urukan dengan Pasir Uruk untuk volume s.d 200 M³ tanpa pemadatan secara manual (Peraturan Menteri PUPR. Nomor 8 Tahun 2023 Lampiran B U.3.5.1.b (c))</v>
      </c>
      <c r="C15" s="781"/>
      <c r="D15" s="782"/>
      <c r="E15" s="783">
        <f>Analisa!G87</f>
        <v>317955</v>
      </c>
      <c r="F15" s="649"/>
    </row>
    <row r="16" spans="1:6" s="111" customFormat="1" ht="11.25" customHeight="1">
      <c r="A16" s="779"/>
      <c r="B16" s="780" t="str">
        <f>Analisa!A89</f>
        <v>1.7.6  Mengangkut 1 M³ tanah lepas. jarak angkut &gt;30 s.d 40 m (Peraturan Menteri PUPR. Nomor 8 Tahun 2023 Lampiran B U.3.6.a.4 (a))</v>
      </c>
      <c r="C16" s="781"/>
      <c r="D16" s="782"/>
      <c r="E16" s="783">
        <f>Analisa!G102</f>
        <v>38159</v>
      </c>
      <c r="F16" s="649"/>
    </row>
    <row r="17" spans="1:6" s="111" customFormat="1" ht="11.25" customHeight="1">
      <c r="A17" s="779"/>
      <c r="B17" s="780"/>
      <c r="C17" s="781"/>
      <c r="D17" s="782"/>
      <c r="E17" s="784"/>
      <c r="F17" s="649"/>
    </row>
    <row r="18" spans="1:6" ht="15">
      <c r="A18" s="769" t="s">
        <v>90</v>
      </c>
      <c r="B18" s="770" t="str">
        <f>Analisa!A105</f>
        <v>2  PEKERJAAN STRUKTUR</v>
      </c>
      <c r="C18" s="771"/>
      <c r="D18" s="772"/>
      <c r="E18" s="773"/>
    </row>
    <row r="19" spans="1:6">
      <c r="A19" s="769">
        <v>1</v>
      </c>
      <c r="B19" s="774" t="str">
        <f>Analisa!A106</f>
        <v>2.1   PEKERJAAN RANGKA ATAP</v>
      </c>
      <c r="C19" s="775"/>
      <c r="D19" s="772"/>
      <c r="E19" s="773"/>
    </row>
    <row r="20" spans="1:6">
      <c r="A20" s="769">
        <v>2</v>
      </c>
      <c r="B20" s="774" t="str">
        <f>Analisa!A107</f>
        <v>2.1.1.1   Pemasangan 1 M²  Atap Pelana Rangka Atap Baja Ringan (Canai Dingin) profil C75</v>
      </c>
      <c r="C20" s="775"/>
      <c r="D20" s="772"/>
      <c r="E20" s="776">
        <f>Analisa!G123</f>
        <v>361290.6</v>
      </c>
    </row>
    <row r="21" spans="1:6" ht="9" customHeight="1">
      <c r="A21" s="769"/>
      <c r="B21" s="774"/>
      <c r="C21" s="775"/>
      <c r="D21" s="772"/>
      <c r="E21" s="773"/>
    </row>
    <row r="22" spans="1:6" ht="15">
      <c r="A22" s="769" t="s">
        <v>620</v>
      </c>
      <c r="B22" s="770" t="s">
        <v>308</v>
      </c>
      <c r="C22" s="771"/>
      <c r="D22" s="772"/>
      <c r="E22" s="773"/>
    </row>
    <row r="23" spans="1:6">
      <c r="A23" s="769">
        <v>1</v>
      </c>
      <c r="B23" s="774" t="s">
        <v>309</v>
      </c>
      <c r="C23" s="775"/>
      <c r="D23" s="772"/>
      <c r="E23" s="773"/>
    </row>
    <row r="24" spans="1:6">
      <c r="A24" s="769">
        <v>2</v>
      </c>
      <c r="B24" s="774" t="s">
        <v>310</v>
      </c>
      <c r="C24" s="775"/>
      <c r="D24" s="772"/>
      <c r="E24" s="773"/>
    </row>
    <row r="25" spans="1:6">
      <c r="A25" s="769"/>
      <c r="B25" s="774"/>
      <c r="C25" s="775" t="s">
        <v>311</v>
      </c>
      <c r="D25" s="778"/>
      <c r="E25" s="776">
        <f>Analisa!G146</f>
        <v>18363.400000000001</v>
      </c>
    </row>
    <row r="26" spans="1:6">
      <c r="A26" s="769">
        <v>3</v>
      </c>
      <c r="B26" s="774" t="str">
        <f>Analisa!A148</f>
        <v>*) BjTP atau BjTS sesuaikan dengan kebutuhan</v>
      </c>
      <c r="C26" s="775"/>
      <c r="D26" s="778"/>
      <c r="E26" s="773"/>
    </row>
    <row r="27" spans="1:6">
      <c r="A27" s="769"/>
      <c r="B27" s="774" t="str">
        <f>Analisa!A149</f>
        <v>2.2.1.1.3   1 Kg Penulangan Begelatau Pelat untuk BjTP atau BjTS diameter 8cm  ( &lt; 12 mm. }</v>
      </c>
      <c r="C27" s="775"/>
      <c r="D27" s="778"/>
      <c r="E27" s="773"/>
    </row>
    <row r="28" spans="1:6">
      <c r="A28" s="769"/>
      <c r="B28" s="774"/>
      <c r="C28" s="775" t="str">
        <f>Analisa!B150</f>
        <v>cara Manual(Peraturan Menteri PUPR. Nomor 8 Tahun 2023 Lampiran B U.4.6.a.3 (a))</v>
      </c>
      <c r="D28" s="778"/>
      <c r="E28" s="776">
        <f>Analisa!G167</f>
        <v>16855.52</v>
      </c>
    </row>
    <row r="29" spans="1:6">
      <c r="A29" s="769">
        <v>4</v>
      </c>
      <c r="B29" s="774" t="str">
        <f>Analisa!A169</f>
        <v>2.2.1.1.4   1 Kg Penulangan kolom. balok. ring balk. dan sloof untuk BjTP atau BjTS diameter 13 cm  ( ≥ 12 mm. )</v>
      </c>
      <c r="C29" s="775"/>
      <c r="D29" s="778"/>
      <c r="E29" s="773"/>
    </row>
    <row r="30" spans="1:6">
      <c r="A30" s="769"/>
      <c r="B30" s="774"/>
      <c r="C30" s="775" t="str">
        <f>Analisa!B170</f>
        <v>cara Semi Mekanis (Peraturan Menteri PUPR. Nomor 8 Tahun 2023 Lampiran B U.4.6.a.4 (a))</v>
      </c>
      <c r="D30" s="778"/>
      <c r="E30" s="776">
        <f>Analisa!G189</f>
        <v>21017.715937160247</v>
      </c>
    </row>
    <row r="31" spans="1:6" s="19" customFormat="1" ht="10.5" customHeight="1">
      <c r="A31" s="769"/>
      <c r="B31" s="774"/>
      <c r="C31" s="775"/>
      <c r="D31" s="772"/>
      <c r="E31" s="776"/>
      <c r="F31" s="649"/>
    </row>
    <row r="32" spans="1:6" s="19" customFormat="1" ht="15">
      <c r="A32" s="769" t="s">
        <v>700</v>
      </c>
      <c r="B32" s="770" t="str">
        <f>Analisa!A195</f>
        <v>2.2.1.3   Pemasangan dan Pembongkaran Bekisting</v>
      </c>
      <c r="C32" s="771"/>
      <c r="D32" s="785"/>
      <c r="E32" s="776"/>
      <c r="F32" s="649"/>
    </row>
    <row r="33" spans="1:6" s="19" customFormat="1">
      <c r="A33" s="769">
        <v>1</v>
      </c>
      <c r="B33" s="774" t="str">
        <f>Analisa!A196</f>
        <v>2.2.1.3.3   Pemasangan 1 M² bekisting untuk sloof (3 kali pakai)</v>
      </c>
      <c r="C33" s="775"/>
      <c r="D33" s="772"/>
      <c r="E33" s="776">
        <f>Analisa!G214</f>
        <v>179201</v>
      </c>
      <c r="F33" s="649"/>
    </row>
    <row r="34" spans="1:6" s="19" customFormat="1">
      <c r="A34" s="769">
        <v>2</v>
      </c>
      <c r="B34" s="774" t="str">
        <f>Analisa!A216</f>
        <v>2.2.1.3.4   Pemasangan 1 M² bekisting untuk kolom (3 kali pakai)</v>
      </c>
      <c r="C34" s="775"/>
      <c r="D34" s="772"/>
      <c r="E34" s="776">
        <f>Analisa!G236</f>
        <v>201039.905</v>
      </c>
      <c r="F34" s="649"/>
    </row>
    <row r="35" spans="1:6" s="19" customFormat="1" ht="9.75" customHeight="1">
      <c r="A35" s="769"/>
      <c r="B35" s="774"/>
      <c r="C35" s="775"/>
      <c r="D35" s="772"/>
      <c r="E35" s="773"/>
      <c r="F35" s="649"/>
    </row>
    <row r="36" spans="1:6" s="19" customFormat="1" ht="15">
      <c r="A36" s="769" t="s">
        <v>701</v>
      </c>
      <c r="B36" s="770" t="str">
        <f>Analisa!A239</f>
        <v>2.2.1.5   Pembuatan s.d. Pengecoran Campuran Beton Secara Semi Mekanis</v>
      </c>
      <c r="C36" s="771"/>
      <c r="D36" s="772"/>
      <c r="E36" s="773"/>
      <c r="F36" s="649"/>
    </row>
    <row r="37" spans="1:6">
      <c r="A37" s="769">
        <v>1</v>
      </c>
      <c r="B37" s="774" t="str">
        <f>Analisa!A240</f>
        <v>2.2.1.5.1   1 M³  beton mutu rendah f'c 10 MPa. Slump (100 ±   25) mm. agregat maks 19 mm secara semi mekanis</v>
      </c>
      <c r="C37" s="775"/>
      <c r="D37" s="772"/>
      <c r="E37" s="776">
        <f>Analisa!G260</f>
        <v>1133013.0997341271</v>
      </c>
      <c r="F37" s="786" t="s">
        <v>338</v>
      </c>
    </row>
    <row r="38" spans="1:6">
      <c r="A38" s="769">
        <v>2</v>
      </c>
      <c r="B38" s="774" t="str">
        <f>Analisa!A262</f>
        <v>2.2.1.5.2   1 M³  beton mutu rendah f'c 15 MPa. Slump (100 ±   25) mm. agregat maks 19 mm secara semi mekanis</v>
      </c>
      <c r="C38" s="775"/>
      <c r="D38" s="772"/>
      <c r="E38" s="776">
        <f>Analisa!G282</f>
        <v>1183114.1711626984</v>
      </c>
      <c r="F38" s="786" t="s">
        <v>339</v>
      </c>
    </row>
    <row r="39" spans="1:6">
      <c r="A39" s="769">
        <v>3</v>
      </c>
      <c r="B39" s="774" t="str">
        <f>Analisa!A284</f>
        <v>2.2.1.5.4   1 M³  beton mutu sedang f'c 20 MPa. Slump (100 ±   25) mm. agregat maks 19 mm secara semi mekanis</v>
      </c>
      <c r="C39" s="775"/>
      <c r="D39" s="772"/>
      <c r="E39" s="776">
        <f>Analisa!G304</f>
        <v>1237069.1711626984</v>
      </c>
      <c r="F39" s="786" t="s">
        <v>340</v>
      </c>
    </row>
    <row r="40" spans="1:6" s="111" customFormat="1">
      <c r="A40" s="769">
        <v>5</v>
      </c>
      <c r="B40" s="780" t="str">
        <f>Analisa!A307</f>
        <v>2.2.1.6.1 Membuat 1 m’ kolom praktis beton bertulang (11 x 11) cm</v>
      </c>
      <c r="C40" s="781"/>
      <c r="D40" s="787"/>
      <c r="E40" s="783">
        <f>Analisa!G330</f>
        <v>109213.5</v>
      </c>
      <c r="F40" s="786"/>
    </row>
    <row r="41" spans="1:6" s="111" customFormat="1">
      <c r="A41" s="769">
        <v>6</v>
      </c>
      <c r="B41" s="780" t="str">
        <f>Analisa!A332</f>
        <v>2.2.1.6.2 Membuat 1 m’ ring balok beton bertulang (10 x 15) cm</v>
      </c>
      <c r="C41" s="781"/>
      <c r="D41" s="787"/>
      <c r="E41" s="783">
        <f>Analisa!G356</f>
        <v>145128.5</v>
      </c>
      <c r="F41" s="786"/>
    </row>
    <row r="42" spans="1:6" s="19" customFormat="1" ht="9.75" customHeight="1">
      <c r="A42" s="769"/>
      <c r="B42" s="774"/>
      <c r="C42" s="775"/>
      <c r="D42" s="772"/>
      <c r="E42" s="773"/>
      <c r="F42" s="649"/>
    </row>
    <row r="43" spans="1:6" s="19" customFormat="1">
      <c r="A43" s="769"/>
      <c r="B43" s="774" t="str">
        <f>Analisa!A358</f>
        <v>CATATAN   HSD alat sudah termasuk operator alatnya (tanpa pembantu operator)</v>
      </c>
      <c r="C43" s="775"/>
      <c r="D43" s="772"/>
      <c r="E43" s="773"/>
      <c r="F43" s="649"/>
    </row>
    <row r="44" spans="1:6" s="19" customFormat="1">
      <c r="A44" s="769" t="s">
        <v>702</v>
      </c>
      <c r="B44" s="774" t="str">
        <f>Analisa!A359</f>
        <v>2.2.2  Struktur Bawah</v>
      </c>
      <c r="C44" s="775"/>
      <c r="D44" s="772"/>
      <c r="E44" s="773"/>
      <c r="F44" s="649"/>
    </row>
    <row r="45" spans="1:6" s="105" customFormat="1">
      <c r="A45" s="769">
        <v>4</v>
      </c>
      <c r="B45" s="774" t="str">
        <f>Analisa!A360</f>
        <v>2.2.2.1.12  Pemasangan 1 M³ Fondasi Batu Belah campuran 1 SP : 5 PP. cara semi mekanis</v>
      </c>
      <c r="C45" s="777"/>
      <c r="D45" s="778"/>
      <c r="E45" s="776">
        <f>Analisa!G378</f>
        <v>953536.85834000004</v>
      </c>
      <c r="F45" s="649"/>
    </row>
    <row r="46" spans="1:6" s="111" customFormat="1">
      <c r="A46" s="788"/>
      <c r="B46" s="789" t="str">
        <f>Analisa!A387</f>
        <v>2.2.2.2.12. 1 m3 Fondasi Beton Siklop, 60% Beton fc' 15 MPa : 40% Batu Belah untuk Volume sd 200 m3 secara manual</v>
      </c>
      <c r="C46" s="790"/>
      <c r="D46" s="778"/>
      <c r="E46" s="791">
        <f>Analisa!G407</f>
        <v>968830.08095238102</v>
      </c>
      <c r="F46" s="649"/>
    </row>
    <row r="47" spans="1:6" s="19" customFormat="1" ht="8.25" customHeight="1">
      <c r="A47" s="769"/>
      <c r="B47" s="774"/>
      <c r="C47" s="775"/>
      <c r="D47" s="772"/>
      <c r="E47" s="773"/>
      <c r="F47" s="649"/>
    </row>
    <row r="48" spans="1:6" s="19" customFormat="1">
      <c r="A48" s="769"/>
      <c r="B48" s="774" t="str">
        <f>Analisa!A410</f>
        <v>3  PEKERJAAN ARSITEKTUR</v>
      </c>
      <c r="C48" s="775"/>
      <c r="D48" s="772"/>
      <c r="E48" s="773"/>
      <c r="F48" s="649"/>
    </row>
    <row r="49" spans="1:6" s="19" customFormat="1">
      <c r="A49" s="769" t="s">
        <v>703</v>
      </c>
      <c r="B49" s="774" t="str">
        <f>Analisa!A411</f>
        <v>3.1   PEKERJAAN PENUTUP ATAP</v>
      </c>
      <c r="C49" s="775"/>
      <c r="D49" s="772"/>
      <c r="E49" s="773"/>
      <c r="F49" s="649"/>
    </row>
    <row r="50" spans="1:6" s="19" customFormat="1">
      <c r="A50" s="769"/>
      <c r="B50" s="774" t="str">
        <f>Analisa!A412</f>
        <v>3.1.1  ATAP GENTENG</v>
      </c>
      <c r="C50" s="775"/>
      <c r="D50" s="772"/>
      <c r="E50" s="773"/>
      <c r="F50" s="649"/>
    </row>
    <row r="51" spans="1:6" s="19" customFormat="1">
      <c r="A51" s="769">
        <v>2</v>
      </c>
      <c r="B51" s="774" t="str">
        <f>Analisa!A413</f>
        <v>3.1.1.2   Pemasangan 1 M² Atap Genteng Kodok Jarang Pilang Goodyear</v>
      </c>
      <c r="C51" s="775"/>
      <c r="D51" s="772"/>
      <c r="E51" s="776">
        <f>Analisa!G429</f>
        <v>169548.5</v>
      </c>
      <c r="F51" s="649"/>
    </row>
    <row r="52" spans="1:6" s="19" customFormat="1">
      <c r="A52" s="769">
        <v>4</v>
      </c>
      <c r="B52" s="774" t="str">
        <f>Analisa!A431</f>
        <v>3.1.1.6   Pemasangan 1 M¹ Nok/Bubung Genteng Kodok Karang pilang Goodyear</v>
      </c>
      <c r="C52" s="775"/>
      <c r="D52" s="772"/>
      <c r="E52" s="776">
        <f>Analisa!G449</f>
        <v>202816.9</v>
      </c>
      <c r="F52" s="649"/>
    </row>
    <row r="53" spans="1:6" s="35" customFormat="1">
      <c r="A53" s="792">
        <v>3</v>
      </c>
      <c r="B53" s="793" t="str">
        <f>Analisa!A462</f>
        <v>3.3.3  Pemasangan 1 M¹ Lisplank Ukuran (3 x 20) cm. Kayu Kamper</v>
      </c>
      <c r="C53" s="794"/>
      <c r="D53" s="795"/>
      <c r="E53" s="796">
        <f>Analisa!G479</f>
        <v>170652.9</v>
      </c>
      <c r="F53" s="649"/>
    </row>
    <row r="54" spans="1:6" s="35" customFormat="1">
      <c r="A54" s="822">
        <v>4</v>
      </c>
      <c r="B54" s="823" t="str">
        <f>Analisa!A481</f>
        <v>3.3.4  Pemasangan 1 M¹ Lisplank Ukuran (3 x 30) cm. Kayu Kamper</v>
      </c>
      <c r="C54" s="794"/>
      <c r="D54" s="824"/>
      <c r="E54" s="825">
        <f>Analisa!G498</f>
        <v>171752.9</v>
      </c>
      <c r="F54" s="649"/>
    </row>
    <row r="55" spans="1:6" s="35" customFormat="1" ht="9.75" customHeight="1">
      <c r="A55" s="822"/>
      <c r="B55" s="823"/>
      <c r="C55" s="794"/>
      <c r="D55" s="824"/>
      <c r="E55" s="829"/>
      <c r="F55" s="649"/>
    </row>
    <row r="56" spans="1:6" s="35" customFormat="1">
      <c r="A56" s="822" t="s">
        <v>704</v>
      </c>
      <c r="B56" s="823" t="str">
        <f>Analisa!A500</f>
        <v>3.4   PEKERJAAN WATERPROOFING</v>
      </c>
      <c r="C56" s="794"/>
      <c r="D56" s="824"/>
      <c r="E56" s="829"/>
      <c r="F56" s="649"/>
    </row>
    <row r="57" spans="1:6" s="35" customFormat="1">
      <c r="A57" s="822">
        <v>1</v>
      </c>
      <c r="B57" s="823" t="str">
        <f>Analisa!A501</f>
        <v>3.4.3  Permukaan tedengan waterproofing ( Analisa PU Tabanan 2023)</v>
      </c>
      <c r="C57" s="794"/>
      <c r="D57" s="824"/>
      <c r="E57" s="825">
        <f>Analisa!G519</f>
        <v>61211.7</v>
      </c>
      <c r="F57" s="649"/>
    </row>
    <row r="58" spans="1:6" s="35" customFormat="1" ht="14.25" customHeight="1" thickBot="1">
      <c r="A58" s="830"/>
      <c r="B58" s="819"/>
      <c r="C58" s="820"/>
      <c r="D58" s="821"/>
      <c r="E58" s="831"/>
      <c r="F58" s="649"/>
    </row>
    <row r="59" spans="1:6" s="9" customFormat="1" ht="14.25" customHeight="1" thickTop="1">
      <c r="A59" s="812"/>
      <c r="B59" s="778"/>
      <c r="C59" s="778"/>
      <c r="D59" s="778"/>
      <c r="E59" s="778"/>
      <c r="F59" s="778"/>
    </row>
    <row r="60" spans="1:6" s="9" customFormat="1" ht="14.25" customHeight="1">
      <c r="A60" s="812"/>
      <c r="B60" s="778"/>
      <c r="C60" s="778"/>
      <c r="D60" s="778"/>
      <c r="E60" s="778"/>
      <c r="F60" s="778"/>
    </row>
    <row r="61" spans="1:6" s="9" customFormat="1" ht="14.25" customHeight="1" thickBot="1">
      <c r="A61" s="812"/>
      <c r="B61" s="778"/>
      <c r="C61" s="778"/>
      <c r="D61" s="778"/>
      <c r="E61" s="778"/>
      <c r="F61" s="778"/>
    </row>
    <row r="62" spans="1:6" s="111" customFormat="1" ht="14.25" customHeight="1" thickTop="1">
      <c r="A62" s="760" t="s">
        <v>0</v>
      </c>
      <c r="B62" s="1887" t="s">
        <v>97</v>
      </c>
      <c r="C62" s="1888"/>
      <c r="D62" s="1889"/>
      <c r="E62" s="761" t="s">
        <v>98</v>
      </c>
      <c r="F62" s="649"/>
    </row>
    <row r="63" spans="1:6" s="111" customFormat="1" ht="14.25" customHeight="1" thickBot="1">
      <c r="A63" s="762">
        <v>1</v>
      </c>
      <c r="B63" s="1884">
        <v>2</v>
      </c>
      <c r="C63" s="1885"/>
      <c r="D63" s="1886"/>
      <c r="E63" s="763">
        <v>3</v>
      </c>
      <c r="F63" s="649"/>
    </row>
    <row r="64" spans="1:6" s="111" customFormat="1" ht="14.25" customHeight="1" thickTop="1">
      <c r="A64" s="822"/>
      <c r="B64" s="823"/>
      <c r="C64" s="794"/>
      <c r="D64" s="824"/>
      <c r="E64" s="829"/>
      <c r="F64" s="649"/>
    </row>
    <row r="65" spans="1:6" s="35" customFormat="1">
      <c r="A65" s="792" t="s">
        <v>705</v>
      </c>
      <c r="B65" s="793" t="str">
        <f>Analisa!A521</f>
        <v>3.5   PEKERJAAN LANGIT-LANGIT (PLAFON)</v>
      </c>
      <c r="C65" s="794"/>
      <c r="D65" s="795"/>
      <c r="E65" s="797"/>
      <c r="F65" s="649"/>
    </row>
    <row r="66" spans="1:6" s="37" customFormat="1">
      <c r="A66" s="792">
        <v>1</v>
      </c>
      <c r="B66" s="793" t="str">
        <f>Analisa!A522</f>
        <v>3.5.2.1   Pemasangan 1 M²  Langit-langit (Plafon) Papan Gypsum. Tebal 9 mm</v>
      </c>
      <c r="C66" s="794"/>
      <c r="D66" s="795"/>
      <c r="E66" s="796">
        <f>Analisa!G539</f>
        <v>54046.3</v>
      </c>
      <c r="F66" s="649"/>
    </row>
    <row r="67" spans="1:6" s="111" customFormat="1">
      <c r="A67" s="798">
        <v>2</v>
      </c>
      <c r="B67" s="799" t="str">
        <f>Analisa!A541</f>
        <v>3.5.2.2   Pemasangan 1 M²  Langit-langit (Plafon) Papan Kalsiboard. Tebal 4.5 mm</v>
      </c>
      <c r="C67" s="794"/>
      <c r="D67" s="800"/>
      <c r="E67" s="801">
        <f>Analisa!G558</f>
        <v>69661.899999999994</v>
      </c>
      <c r="F67" s="649"/>
    </row>
    <row r="68" spans="1:6" s="37" customFormat="1">
      <c r="A68" s="792">
        <v>3</v>
      </c>
      <c r="B68" s="793" t="str">
        <f>Analisa!A560</f>
        <v>3.5.2.3   Pemasangan 1 M²  Langit-langit (Plafon) Papan Kalsiboard. Tebal 6 mm</v>
      </c>
      <c r="C68" s="794"/>
      <c r="D68" s="795"/>
      <c r="E68" s="796">
        <f>Analisa!G577</f>
        <v>85757.979999999981</v>
      </c>
      <c r="F68" s="649"/>
    </row>
    <row r="69" spans="1:6" s="37" customFormat="1">
      <c r="A69" s="792">
        <v>4</v>
      </c>
      <c r="B69" s="793" t="str">
        <f>Analisa!A579</f>
        <v>3.5.2.4a   Pemasangan 1 M²  Langit-langit (Plafon) PVC  (Analisa PU Tabanan 2023)</v>
      </c>
      <c r="C69" s="794"/>
      <c r="D69" s="795"/>
      <c r="E69" s="796">
        <f>Analisa!G596</f>
        <v>127059.9</v>
      </c>
      <c r="F69" s="649"/>
    </row>
    <row r="70" spans="1:6" s="37" customFormat="1">
      <c r="A70" s="792">
        <v>5</v>
      </c>
      <c r="B70" s="793" t="str">
        <f>Analisa!A598</f>
        <v>3.5.2.5   Pemasangan 1 M¹ List Langit-langit (Plafon) Kayu Profil</v>
      </c>
      <c r="C70" s="794"/>
      <c r="D70" s="795"/>
      <c r="E70" s="796">
        <f>Analisa!G615</f>
        <v>32407.1</v>
      </c>
      <c r="F70" s="649"/>
    </row>
    <row r="71" spans="1:6" s="37" customFormat="1">
      <c r="A71" s="792">
        <v>6</v>
      </c>
      <c r="B71" s="793" t="str">
        <f>Analisa!A618</f>
        <v>3.5.2.6   Pemasangan 1 M¹ List Langit-langit (Plafon) Gypsum</v>
      </c>
      <c r="C71" s="794"/>
      <c r="D71" s="795"/>
      <c r="E71" s="796">
        <f>Analisa!G635</f>
        <v>25752.1</v>
      </c>
      <c r="F71" s="649"/>
    </row>
    <row r="72" spans="1:6" s="37" customFormat="1" ht="10.5" customHeight="1">
      <c r="A72" s="792"/>
      <c r="B72" s="793"/>
      <c r="C72" s="794"/>
      <c r="D72" s="795"/>
      <c r="E72" s="797"/>
      <c r="F72" s="649"/>
    </row>
    <row r="73" spans="1:6" s="37" customFormat="1">
      <c r="A73" s="792"/>
      <c r="B73" s="793" t="str">
        <f>Analisa!A637</f>
        <v>3.5.3  RANGKA LANGIT-LANGIT (PLAFON)</v>
      </c>
      <c r="C73" s="794"/>
      <c r="D73" s="795"/>
      <c r="E73" s="797"/>
      <c r="F73" s="649"/>
    </row>
    <row r="74" spans="1:6" s="37" customFormat="1">
      <c r="A74" s="792">
        <v>7</v>
      </c>
      <c r="B74" s="793" t="str">
        <f>Analisa!A638</f>
        <v>3.5.3.1   Pemasangan 1 M² Rangka Langit-langit (Plafon) Besi Hollow 40.40</v>
      </c>
      <c r="C74" s="794"/>
      <c r="D74" s="795"/>
      <c r="E74" s="796">
        <f>Analisa!G655</f>
        <v>377210.9</v>
      </c>
      <c r="F74" s="649"/>
    </row>
    <row r="75" spans="1:6" s="104" customFormat="1">
      <c r="A75" s="792">
        <v>8</v>
      </c>
      <c r="B75" s="793" t="str">
        <f>Analisa!A657</f>
        <v>3.5.3.2   Pemasangan 1 M² Rangka Langit-langit (Plafon) Hollow Aluminium 40.40  P. 4 m  (Analisa  2023)</v>
      </c>
      <c r="C75" s="794"/>
      <c r="D75" s="795"/>
      <c r="E75" s="796">
        <f>Analisa!G674</f>
        <v>155441</v>
      </c>
      <c r="F75" s="649"/>
    </row>
    <row r="76" spans="1:6" s="37" customFormat="1" ht="9.75" customHeight="1">
      <c r="A76" s="792"/>
      <c r="B76" s="793"/>
      <c r="C76" s="794"/>
      <c r="D76" s="795"/>
      <c r="E76" s="796"/>
      <c r="F76" s="649"/>
    </row>
    <row r="77" spans="1:6" s="35" customFormat="1">
      <c r="A77" s="792" t="s">
        <v>706</v>
      </c>
      <c r="B77" s="793" t="str">
        <f>Analisa!A692</f>
        <v>3.6   PEKERJAAN PASANGAN DINDING</v>
      </c>
      <c r="C77" s="794"/>
      <c r="D77" s="795"/>
      <c r="E77" s="797"/>
      <c r="F77" s="649"/>
    </row>
    <row r="78" spans="1:6" s="37" customFormat="1" ht="9" customHeight="1">
      <c r="A78" s="792"/>
      <c r="B78" s="793"/>
      <c r="C78" s="794"/>
      <c r="D78" s="795"/>
      <c r="E78" s="797"/>
      <c r="F78" s="649"/>
    </row>
    <row r="79" spans="1:6" s="37" customFormat="1">
      <c r="A79" s="792"/>
      <c r="B79" s="793" t="str">
        <f>Analisa!A693</f>
        <v>3.6.5  DINDING BATAKO</v>
      </c>
      <c r="C79" s="794"/>
      <c r="D79" s="795"/>
      <c r="E79" s="797"/>
      <c r="F79" s="649"/>
    </row>
    <row r="80" spans="1:6" s="375" customFormat="1">
      <c r="A80" s="802">
        <v>3</v>
      </c>
      <c r="B80" s="803" t="str">
        <f>Analisa!A694</f>
        <v>3.6.5.2   Pemasangan 1 M²  Dinding Batako dengan Mortar Tipe N.fc’ 5.2 Mpa (Setara Campuran 1SP : 4PP) (Tanpa anker)</v>
      </c>
      <c r="C80" s="804"/>
      <c r="D80" s="805"/>
      <c r="E80" s="806">
        <f>Analisa!G713</f>
        <v>143302.5</v>
      </c>
      <c r="F80" s="109"/>
    </row>
    <row r="81" spans="1:6" s="111" customFormat="1" ht="9" customHeight="1">
      <c r="A81" s="792"/>
      <c r="B81" s="793"/>
      <c r="C81" s="794"/>
      <c r="D81" s="795"/>
      <c r="E81" s="797"/>
      <c r="F81" s="649"/>
    </row>
    <row r="82" spans="1:6" s="37" customFormat="1">
      <c r="A82" s="792" t="s">
        <v>707</v>
      </c>
      <c r="B82" s="793" t="str">
        <f>Analisa!A715</f>
        <v>3.7   PEKERJAAN PLESTERAN DAN ACIAN</v>
      </c>
      <c r="C82" s="794"/>
      <c r="D82" s="795"/>
      <c r="E82" s="797"/>
      <c r="F82" s="649"/>
    </row>
    <row r="83" spans="1:6" s="37" customFormat="1">
      <c r="A83" s="792">
        <v>2</v>
      </c>
      <c r="B83" s="793" t="str">
        <f>Analisa!A716</f>
        <v>3.7.5    Pemasangan 1 M² Plesteran 1SP : 5PP Tebal 15 mm</v>
      </c>
      <c r="C83" s="794"/>
      <c r="D83" s="795"/>
      <c r="E83" s="796">
        <f>Analisa!G733</f>
        <v>62257.58</v>
      </c>
      <c r="F83" s="649"/>
    </row>
    <row r="84" spans="1:6" s="37" customFormat="1">
      <c r="A84" s="792">
        <v>4</v>
      </c>
      <c r="B84" s="793" t="str">
        <f>Analisa!A735</f>
        <v>3.7.8    Pemasangan 1 M² Acian</v>
      </c>
      <c r="C84" s="794"/>
      <c r="D84" s="795"/>
      <c r="E84" s="796">
        <f>Analisa!G751</f>
        <v>51450.85</v>
      </c>
      <c r="F84" s="649"/>
    </row>
    <row r="85" spans="1:6" s="111" customFormat="1">
      <c r="A85" s="798"/>
      <c r="B85" s="799" t="str">
        <f>Analisa!A762</f>
        <v>3.7.9    Pemasangan 1 M²  finishing siar pasangan batu kali, campuran 1SP : 2PP</v>
      </c>
      <c r="C85" s="794"/>
      <c r="D85" s="800"/>
      <c r="E85" s="801">
        <f>Analisa!G779</f>
        <v>84956.3</v>
      </c>
      <c r="F85" s="649"/>
    </row>
    <row r="86" spans="1:6" s="37" customFormat="1" ht="8.25" customHeight="1">
      <c r="A86" s="792"/>
      <c r="B86" s="793"/>
      <c r="C86" s="794"/>
      <c r="D86" s="795"/>
      <c r="E86" s="797"/>
      <c r="F86" s="649"/>
    </row>
    <row r="87" spans="1:6" s="37" customFormat="1">
      <c r="A87" s="792" t="s">
        <v>708</v>
      </c>
      <c r="B87" s="793" t="str">
        <f>Analisa!A781</f>
        <v>3.8   PEKERJAAN PENGECATAN DAN PELITURAN</v>
      </c>
      <c r="C87" s="794"/>
      <c r="D87" s="795"/>
      <c r="E87" s="797"/>
      <c r="F87" s="649"/>
    </row>
    <row r="88" spans="1:6" s="40" customFormat="1">
      <c r="A88" s="792">
        <v>1</v>
      </c>
      <c r="B88" s="793" t="str">
        <f>Analisa!A782</f>
        <v>3.8.4    Pengecatan 1 M² Bidang Kayu Baru (1 Lapis Plamuur. 1 Lapis Cat Dasar. 2 Lapis Cat Penutup)</v>
      </c>
      <c r="C88" s="794"/>
      <c r="D88" s="795"/>
      <c r="E88" s="796">
        <f>Analisa!G804</f>
        <v>57745.599999999999</v>
      </c>
      <c r="F88" s="649"/>
    </row>
    <row r="89" spans="1:6" s="40" customFormat="1">
      <c r="A89" s="792">
        <v>2</v>
      </c>
      <c r="B89" s="793" t="str">
        <f>Analisa!A806</f>
        <v>3.8.5    Pengecatan 1 M² Bidang Kayu Baru (1 Lapis Plamuur. 1 Lapis Cat Dasar. 3 Lapis Cat Penutup)</v>
      </c>
      <c r="C89" s="794"/>
      <c r="D89" s="795"/>
      <c r="E89" s="796">
        <f>Analisa!G828</f>
        <v>82038</v>
      </c>
      <c r="F89" s="649"/>
    </row>
    <row r="90" spans="1:6" s="40" customFormat="1">
      <c r="A90" s="792">
        <v>3</v>
      </c>
      <c r="B90" s="793" t="str">
        <f>Analisa!A831</f>
        <v>3.8.7    Pelaburan 1 M² Bidang Kayu dengan Pelitur</v>
      </c>
      <c r="C90" s="794"/>
      <c r="D90" s="795"/>
      <c r="E90" s="796">
        <f>Analisa!G849</f>
        <v>87626</v>
      </c>
      <c r="F90" s="649"/>
    </row>
    <row r="91" spans="1:6" s="111" customFormat="1">
      <c r="A91" s="798"/>
      <c r="B91" s="799" t="str">
        <f>Analisa!A851</f>
        <v>3.8.8    Pelaburan 1 M² Bidang Kayu Lama dengan Pelitur</v>
      </c>
      <c r="C91" s="794"/>
      <c r="D91" s="800"/>
      <c r="E91" s="801">
        <f>Analisa!G869</f>
        <v>62106</v>
      </c>
      <c r="F91" s="649"/>
    </row>
    <row r="92" spans="1:6" s="40" customFormat="1">
      <c r="A92" s="792">
        <v>4</v>
      </c>
      <c r="B92" s="793" t="str">
        <f>Analisa!A873</f>
        <v>3.8.10  Pengecatan 1 M² Tembok Baru (1 Lapis Plamuur. 1 Lapis Cat Dasar 2 Lapis Cat Penutup) (Dengan Dulux Luar Ruangan)</v>
      </c>
      <c r="C92" s="794"/>
      <c r="D92" s="795"/>
      <c r="E92" s="796">
        <f>Analisa!G890</f>
        <v>46054.8</v>
      </c>
      <c r="F92" s="649"/>
    </row>
    <row r="93" spans="1:6" s="40" customFormat="1">
      <c r="A93" s="792">
        <v>5</v>
      </c>
      <c r="B93" s="793" t="str">
        <f>Analisa!A903</f>
        <v>3.8.10a  Pengecatan 1 M² Tembok Baru (1 Lapis Plamuur. 1 Lapis Cat Dasar 2 Lapis Cat Penutup) (Dengan Dulux Dalam  Ruangan)</v>
      </c>
      <c r="C93" s="794"/>
      <c r="D93" s="795"/>
      <c r="E93" s="796">
        <f>Analisa!G920</f>
        <v>42336.800000000003</v>
      </c>
      <c r="F93" s="649"/>
    </row>
    <row r="94" spans="1:6" s="40" customFormat="1">
      <c r="A94" s="792">
        <v>6</v>
      </c>
      <c r="B94" s="793" t="str">
        <f>Analisa!A922</f>
        <v>3.8.11  Pengecatan 1 M²  Tembok Lama (1 Lapis Cat Dasar. 2 Lapis Cat Penutup) (Dengan Dulux Luar Ruangan)</v>
      </c>
      <c r="C94" s="794"/>
      <c r="D94" s="795"/>
      <c r="E94" s="796">
        <f>Analisa!G939</f>
        <v>35792.9</v>
      </c>
      <c r="F94" s="649"/>
    </row>
    <row r="95" spans="1:6" s="40" customFormat="1">
      <c r="A95" s="792">
        <v>7</v>
      </c>
      <c r="B95" s="793" t="str">
        <f>Analisa!A941</f>
        <v>3.8.11a  Pengecatan 1 M²  Tembok Lama (1 Lapis Cat Dasar. 2 Lapis Cat Penutup)(Dengan Dulux Dalam Ruangan)</v>
      </c>
      <c r="C95" s="794"/>
      <c r="D95" s="795"/>
      <c r="E95" s="796">
        <f>Analisa!G958</f>
        <v>33218.9</v>
      </c>
      <c r="F95" s="649"/>
    </row>
    <row r="96" spans="1:6" s="40" customFormat="1">
      <c r="A96" s="792">
        <v>8</v>
      </c>
      <c r="B96" s="793" t="str">
        <f>Analisa!A960</f>
        <v>3.8.20  Pengecatan 1 M²  Plafond  (1 Lapis Cat Dasar dan 2 Lapis Cat Penutup) (Dulux)</v>
      </c>
      <c r="C96" s="794"/>
      <c r="D96" s="795"/>
      <c r="E96" s="796">
        <f>Analisa!G977</f>
        <v>39794.699999999997</v>
      </c>
      <c r="F96" s="649"/>
    </row>
    <row r="97" spans="1:6" s="40" customFormat="1" ht="7.5" customHeight="1">
      <c r="A97" s="792"/>
      <c r="B97" s="793"/>
      <c r="C97" s="794"/>
      <c r="D97" s="795"/>
      <c r="E97" s="797"/>
      <c r="F97" s="649"/>
    </row>
    <row r="98" spans="1:6" s="40" customFormat="1">
      <c r="A98" s="792" t="s">
        <v>709</v>
      </c>
      <c r="B98" s="793" t="str">
        <f>Analisa!A986</f>
        <v>3.9   PEKERJAAN PENUTUP LANTAI</v>
      </c>
      <c r="C98" s="794"/>
      <c r="D98" s="795"/>
      <c r="E98" s="797"/>
      <c r="F98" s="649"/>
    </row>
    <row r="99" spans="1:6" s="40" customFormat="1">
      <c r="A99" s="792" t="s">
        <v>337</v>
      </c>
      <c r="B99" s="793" t="str">
        <f>Analisa!A987</f>
        <v>3.9.4  HOMOGENEOUS TILE</v>
      </c>
      <c r="C99" s="794"/>
      <c r="D99" s="795"/>
      <c r="E99" s="797"/>
      <c r="F99" s="649"/>
    </row>
    <row r="100" spans="1:6" s="40" customFormat="1">
      <c r="A100" s="792">
        <v>1</v>
      </c>
      <c r="B100" s="793" t="str">
        <f>Analisa!A988</f>
        <v>3.9.4.1   Pemasangan 1 M²  Lantai Keramik Platinum Ukuran 60 x 60 cm (1SP : 2PP)</v>
      </c>
      <c r="C100" s="794"/>
      <c r="D100" s="795"/>
      <c r="E100" s="796">
        <f>Analisa!G1007</f>
        <v>254324.84</v>
      </c>
      <c r="F100" s="649"/>
    </row>
    <row r="101" spans="1:6" s="97" customFormat="1">
      <c r="A101" s="792">
        <v>2</v>
      </c>
      <c r="B101" s="793" t="str">
        <f>Analisa!A1009</f>
        <v>3.9.4.1a   Pemasangan 1 M²  Lantai Keramik Platinum Ukuran 60 x 60 cm (1SP : 2PP) Antiselip</v>
      </c>
      <c r="C101" s="794"/>
      <c r="D101" s="795"/>
      <c r="E101" s="796">
        <f>Analisa!G1028</f>
        <v>269545.90666666668</v>
      </c>
      <c r="F101" s="649"/>
    </row>
    <row r="102" spans="1:6" s="40" customFormat="1">
      <c r="A102" s="792">
        <v>3</v>
      </c>
      <c r="B102" s="793" t="str">
        <f>Analisa!A1030</f>
        <v>3.9.4.4    Pemasangan  1  M¹  Plint Keramik Platinum  Ukuran  10  s.d. 15  cm  x 60 cm (1SP : 2PP)</v>
      </c>
      <c r="C102" s="794"/>
      <c r="D102" s="795"/>
      <c r="E102" s="796">
        <f>Analisa!G1049</f>
        <v>45513.93</v>
      </c>
      <c r="F102" s="649"/>
    </row>
    <row r="103" spans="1:6" s="105" customFormat="1">
      <c r="A103" s="792">
        <v>6</v>
      </c>
      <c r="B103" s="793" t="str">
        <f>Analisa!A1051</f>
        <v>3.9.4.5   Pemasangan 1 M¹ Plint  Kalsiplinth Tebal 8 mm Lebar 10 cm</v>
      </c>
      <c r="C103" s="794"/>
      <c r="D103" s="795"/>
      <c r="E103" s="796">
        <f>Analisa!G1069</f>
        <v>54923</v>
      </c>
      <c r="F103" s="649"/>
    </row>
    <row r="104" spans="1:6" s="111" customFormat="1">
      <c r="A104" s="798"/>
      <c r="B104" s="799" t="str">
        <f>Analisa!A1074</f>
        <v>3.9.4.6    Pemasangan  1  M²  Pemasangan 1 m2 Koral Sikat  ( Lokal )</v>
      </c>
      <c r="C104" s="794"/>
      <c r="D104" s="800"/>
      <c r="E104" s="801">
        <f>Analisa!G1092</f>
        <v>228663.6</v>
      </c>
      <c r="F104" s="649"/>
    </row>
    <row r="105" spans="1:6" s="111" customFormat="1">
      <c r="A105" s="798"/>
      <c r="B105" s="799" t="str">
        <f>Analisa!A1094</f>
        <v xml:space="preserve">3.9.4.7    Pemasangan  1  M²  Paving block (Blok Beton) Natural Tebal 8 cm f'c 25 MPa </v>
      </c>
      <c r="C105" s="794"/>
      <c r="D105" s="800"/>
      <c r="E105" s="801">
        <f>Analisa!G1111</f>
        <v>319573.09999999998</v>
      </c>
      <c r="F105" s="649"/>
    </row>
    <row r="106" spans="1:6" s="41" customFormat="1" ht="7.5" customHeight="1">
      <c r="A106" s="792"/>
      <c r="B106" s="793"/>
      <c r="C106" s="794"/>
      <c r="D106" s="795"/>
      <c r="E106" s="796"/>
      <c r="F106" s="649"/>
    </row>
    <row r="107" spans="1:6" s="41" customFormat="1">
      <c r="A107" s="792" t="s">
        <v>710</v>
      </c>
      <c r="B107" s="793" t="str">
        <f>Analisa!A1113</f>
        <v>3.10  PEKERJAAN PENUTUP DINDING</v>
      </c>
      <c r="C107" s="794"/>
      <c r="D107" s="795"/>
      <c r="E107" s="797"/>
      <c r="F107" s="649"/>
    </row>
    <row r="108" spans="1:6" s="41" customFormat="1">
      <c r="A108" s="792">
        <v>1</v>
      </c>
      <c r="B108" s="793" t="str">
        <f>Analisa!A1114</f>
        <v>3.10.1 DINDING KERAMIK</v>
      </c>
      <c r="C108" s="794"/>
      <c r="D108" s="795"/>
      <c r="E108" s="797"/>
      <c r="F108" s="649"/>
    </row>
    <row r="109" spans="1:6" s="41" customFormat="1">
      <c r="A109" s="792">
        <v>4</v>
      </c>
      <c r="B109" s="793" t="str">
        <f>Analisa!A1115</f>
        <v>3.10.2.32  Pemasangan 1 M² Dinding Keramik Platinum Ukuran 60 cm x 60 cm (1SP : 2PP)</v>
      </c>
      <c r="C109" s="794"/>
      <c r="D109" s="795"/>
      <c r="E109" s="796">
        <f>Analisa!G1133</f>
        <v>257180</v>
      </c>
      <c r="F109" s="649"/>
    </row>
    <row r="110" spans="1:6" s="41" customFormat="1" ht="7.5" customHeight="1">
      <c r="A110" s="792"/>
      <c r="B110" s="793"/>
      <c r="C110" s="794"/>
      <c r="D110" s="795"/>
      <c r="E110" s="797"/>
      <c r="F110" s="649"/>
    </row>
    <row r="111" spans="1:6" s="41" customFormat="1">
      <c r="A111" s="792" t="s">
        <v>711</v>
      </c>
      <c r="B111" s="793" t="str">
        <f>Analisa!A1149</f>
        <v>3.10.6 RANGKA DINDING</v>
      </c>
      <c r="C111" s="794"/>
      <c r="D111" s="795"/>
      <c r="E111" s="797"/>
      <c r="F111" s="649"/>
    </row>
    <row r="112" spans="1:6" s="104" customFormat="1">
      <c r="A112" s="792">
        <v>1</v>
      </c>
      <c r="B112" s="793" t="str">
        <f>Analisa!A1170</f>
        <v>3.10.6.3  Pemasangan 1 m2 Rangka Aluminium C 0,75 mm, modul 60x120 cm untuk partisi</v>
      </c>
      <c r="C112" s="794"/>
      <c r="D112" s="795"/>
      <c r="E112" s="796">
        <f>Analisa!G1187</f>
        <v>165506</v>
      </c>
      <c r="F112" s="649"/>
    </row>
    <row r="113" spans="1:6" s="43" customFormat="1" ht="6.75" customHeight="1">
      <c r="A113" s="792"/>
      <c r="B113" s="793"/>
      <c r="C113" s="794"/>
      <c r="D113" s="795"/>
      <c r="E113" s="796"/>
      <c r="F113" s="649"/>
    </row>
    <row r="114" spans="1:6" s="43" customFormat="1">
      <c r="A114" s="792" t="s">
        <v>712</v>
      </c>
      <c r="B114" s="793" t="str">
        <f>Analisa!A1189</f>
        <v>3.11  PEKERJAAN PINTU DAN JENDELA</v>
      </c>
      <c r="C114" s="794"/>
      <c r="D114" s="795"/>
      <c r="E114" s="797"/>
      <c r="F114" s="649"/>
    </row>
    <row r="115" spans="1:6" s="97" customFormat="1">
      <c r="A115" s="792">
        <v>1</v>
      </c>
      <c r="B115" s="793" t="str">
        <f>Analisa!A1190</f>
        <v>3.11.2.1 Pembuatan dan pemasangan 1 m2 frame pintu kaca dan frame jendela kaca, kayu kamper</v>
      </c>
      <c r="C115" s="794"/>
      <c r="D115" s="795"/>
      <c r="E115" s="796">
        <f>Analisa!G1208</f>
        <v>810755</v>
      </c>
      <c r="F115" s="649"/>
    </row>
    <row r="116" spans="1:6" s="43" customFormat="1">
      <c r="A116" s="792">
        <v>4</v>
      </c>
      <c r="B116" s="793" t="str">
        <f>Analisa!A1210</f>
        <v>3.11.2.2 Pembuatan 1 M² Daun Pintu Panel. Kayu Kamper</v>
      </c>
      <c r="C116" s="794"/>
      <c r="D116" s="795"/>
      <c r="E116" s="796">
        <f>Analisa!G1227</f>
        <v>1139325</v>
      </c>
      <c r="F116" s="649"/>
    </row>
    <row r="117" spans="1:6" s="96" customFormat="1">
      <c r="A117" s="792">
        <v>6</v>
      </c>
      <c r="B117" s="793" t="str">
        <f>Analisa!A1229</f>
        <v>3.11.2.3 Pembuatan  1 m2 teakwood rangkap lapis formika, rangka expose kayu kamper</v>
      </c>
      <c r="C117" s="794"/>
      <c r="D117" s="795"/>
      <c r="E117" s="796">
        <f>Analisa!G1249</f>
        <v>881826</v>
      </c>
      <c r="F117" s="649"/>
    </row>
    <row r="118" spans="1:6" s="43" customFormat="1" ht="10.5" customHeight="1">
      <c r="A118" s="792"/>
      <c r="B118" s="793"/>
      <c r="C118" s="794"/>
      <c r="D118" s="795"/>
      <c r="E118" s="797"/>
      <c r="F118" s="649"/>
    </row>
    <row r="119" spans="1:6" s="43" customFormat="1">
      <c r="A119" s="792">
        <v>7</v>
      </c>
      <c r="B119" s="793" t="str">
        <f>Analisa!A1251</f>
        <v>3.11.3 KUSEN PINTU DAN JENDELA</v>
      </c>
      <c r="C119" s="794"/>
      <c r="D119" s="795"/>
      <c r="E119" s="797"/>
      <c r="F119" s="649"/>
    </row>
    <row r="120" spans="1:6" s="43" customFormat="1">
      <c r="A120" s="792">
        <v>10</v>
      </c>
      <c r="B120" s="793" t="str">
        <f>Analisa!A1252</f>
        <v>3.11.3.4 Pembuatan dan Pemasangan 1 M¹ Kusen Pintu dan Kusen Jendela Kayu Bingkirai  Ukuran 6 cm x 12 cm</v>
      </c>
      <c r="C120" s="794"/>
      <c r="D120" s="795"/>
      <c r="E120" s="776">
        <f>Analisa!G1270</f>
        <v>229966</v>
      </c>
      <c r="F120" s="649"/>
    </row>
    <row r="121" spans="1:6" s="43" customFormat="1">
      <c r="A121" s="792">
        <v>11</v>
      </c>
      <c r="B121" s="793" t="str">
        <f>Analisa!A1272</f>
        <v>3.11.3.5 Pembuatan dan Pemasangan 1 M¹ Kusen Pintu dan Kusen Jendela Kayu Bingkirai  Ukuran 5 cm x 14 cm</v>
      </c>
      <c r="C121" s="794"/>
      <c r="D121" s="795"/>
      <c r="E121" s="776">
        <f>Analisa!G1290</f>
        <v>257796</v>
      </c>
      <c r="F121" s="649"/>
    </row>
    <row r="122" spans="1:6" s="109" customFormat="1">
      <c r="A122" s="802">
        <v>12</v>
      </c>
      <c r="B122" s="803" t="str">
        <f>Analisa!A1305</f>
        <v xml:space="preserve">
3.11.3.1 Pemasangan 1 M¹ Kusen Aluminium</v>
      </c>
      <c r="C122" s="804"/>
      <c r="D122" s="805"/>
      <c r="E122" s="813">
        <f>Analisa!G1324</f>
        <v>266574.00000000006</v>
      </c>
    </row>
    <row r="123" spans="1:6" s="45" customFormat="1" ht="9" customHeight="1">
      <c r="A123" s="792"/>
      <c r="B123" s="793"/>
      <c r="C123" s="794"/>
      <c r="D123" s="795"/>
      <c r="E123" s="773"/>
      <c r="F123" s="649"/>
    </row>
    <row r="124" spans="1:6" s="43" customFormat="1">
      <c r="A124" s="792">
        <v>17</v>
      </c>
      <c r="B124" s="793" t="str">
        <f>Analisa!A1326</f>
        <v>3.11.4 AKSESORIS PINTU DAN JENDELA</v>
      </c>
      <c r="C124" s="794"/>
      <c r="D124" s="795"/>
      <c r="E124" s="773"/>
      <c r="F124" s="649"/>
    </row>
    <row r="125" spans="1:6" s="43" customFormat="1">
      <c r="A125" s="792">
        <v>18</v>
      </c>
      <c r="B125" s="793" t="str">
        <f>Analisa!A1327</f>
        <v>3.11.4.2   Pemasangan 1 Buah Kunci Tanam Biasa</v>
      </c>
      <c r="C125" s="794"/>
      <c r="D125" s="795"/>
      <c r="E125" s="776">
        <f>Analisa!G1343</f>
        <v>349184</v>
      </c>
      <c r="F125" s="649"/>
    </row>
    <row r="126" spans="1:6" s="43" customFormat="1">
      <c r="A126" s="792">
        <v>19</v>
      </c>
      <c r="B126" s="793" t="str">
        <f>Analisa!A1345</f>
        <v>3.11.4.5   Pemasangan 1 Buah Engsel Pintu</v>
      </c>
      <c r="C126" s="794"/>
      <c r="D126" s="795"/>
      <c r="E126" s="776">
        <f>Analisa!G1361</f>
        <v>105655</v>
      </c>
      <c r="F126" s="649"/>
    </row>
    <row r="127" spans="1:6" s="104" customFormat="1">
      <c r="A127" s="792">
        <v>20</v>
      </c>
      <c r="B127" s="793" t="str">
        <f>Analisa!A1363</f>
        <v>3.11.4.6   Pemasangan 1 Buah Engsel Tanam (Floor Hinge)</v>
      </c>
      <c r="C127" s="794"/>
      <c r="D127" s="795"/>
      <c r="E127" s="776">
        <f>Analisa!G1380</f>
        <v>786787.1</v>
      </c>
      <c r="F127" s="649"/>
    </row>
    <row r="128" spans="1:6" s="43" customFormat="1">
      <c r="A128" s="792">
        <v>21</v>
      </c>
      <c r="B128" s="793" t="str">
        <f>Analisa!A1382</f>
        <v>3.11.4.14a Pemasangan 1 Buah Kunci Slot (Grendel) untuk Pintu</v>
      </c>
      <c r="C128" s="794"/>
      <c r="D128" s="795"/>
      <c r="E128" s="776">
        <f>Analisa!G1398</f>
        <v>174612.9</v>
      </c>
      <c r="F128" s="649"/>
    </row>
    <row r="129" spans="1:6" s="43" customFormat="1">
      <c r="A129" s="792">
        <v>22</v>
      </c>
      <c r="B129" s="793" t="str">
        <f>Analisa!A1400</f>
        <v>3.11.4.14 Pemasangan 1 Buah Kunci Slot (Grendel) untuk Jendela</v>
      </c>
      <c r="C129" s="794"/>
      <c r="D129" s="795"/>
      <c r="E129" s="776">
        <f>Analisa!G1416</f>
        <v>82897.100000000006</v>
      </c>
      <c r="F129" s="649"/>
    </row>
    <row r="130" spans="1:6" s="43" customFormat="1">
      <c r="A130" s="792">
        <v>23</v>
      </c>
      <c r="B130" s="793" t="str">
        <f>Analisa!A1418</f>
        <v>3.11.4.15 Pemasangan 1 Buah Engsel Jendela Kupu-Kupu</v>
      </c>
      <c r="C130" s="794"/>
      <c r="D130" s="795"/>
      <c r="E130" s="796">
        <f>Analisa!G1434</f>
        <v>59247.1</v>
      </c>
      <c r="F130" s="649"/>
    </row>
    <row r="131" spans="1:6" s="43" customFormat="1">
      <c r="A131" s="792">
        <v>24</v>
      </c>
      <c r="B131" s="793" t="str">
        <f>Analisa!A1436</f>
        <v>3.11.4.18 Pemasangan 1 Buah Kait Angin</v>
      </c>
      <c r="C131" s="794"/>
      <c r="D131" s="795"/>
      <c r="E131" s="796">
        <f>Analisa!G1452</f>
        <v>92455</v>
      </c>
      <c r="F131" s="649"/>
    </row>
    <row r="132" spans="1:6" s="43" customFormat="1" ht="15" thickBot="1">
      <c r="A132" s="830"/>
      <c r="B132" s="819"/>
      <c r="C132" s="820"/>
      <c r="D132" s="821"/>
      <c r="E132" s="831"/>
      <c r="F132" s="649"/>
    </row>
    <row r="133" spans="1:6" s="9" customFormat="1" ht="15.75" thickTop="1" thickBot="1">
      <c r="A133" s="812"/>
      <c r="B133" s="778"/>
      <c r="C133" s="778"/>
      <c r="D133" s="778"/>
      <c r="E133" s="778"/>
      <c r="F133" s="778"/>
    </row>
    <row r="134" spans="1:6" s="111" customFormat="1" ht="15.75" thickTop="1">
      <c r="A134" s="760" t="s">
        <v>0</v>
      </c>
      <c r="B134" s="1887" t="s">
        <v>97</v>
      </c>
      <c r="C134" s="1888"/>
      <c r="D134" s="1889"/>
      <c r="E134" s="761" t="s">
        <v>98</v>
      </c>
      <c r="F134" s="649"/>
    </row>
    <row r="135" spans="1:6" s="111" customFormat="1" ht="15.75" thickBot="1">
      <c r="A135" s="762">
        <v>1</v>
      </c>
      <c r="B135" s="1884">
        <v>2</v>
      </c>
      <c r="C135" s="1885"/>
      <c r="D135" s="1886"/>
      <c r="E135" s="763">
        <v>3</v>
      </c>
      <c r="F135" s="649"/>
    </row>
    <row r="136" spans="1:6" s="111" customFormat="1" ht="8.25" customHeight="1" thickTop="1">
      <c r="A136" s="822"/>
      <c r="B136" s="823"/>
      <c r="C136" s="794"/>
      <c r="D136" s="824"/>
      <c r="E136" s="829"/>
      <c r="F136" s="649"/>
    </row>
    <row r="137" spans="1:6" s="43" customFormat="1">
      <c r="A137" s="792" t="s">
        <v>713</v>
      </c>
      <c r="B137" s="793" t="str">
        <f>Analisa!A1456</f>
        <v>3.12  PEKERJAAN KACA</v>
      </c>
      <c r="C137" s="794"/>
      <c r="D137" s="795"/>
      <c r="E137" s="797"/>
      <c r="F137" s="649"/>
    </row>
    <row r="138" spans="1:6" s="413" customFormat="1">
      <c r="A138" s="792">
        <v>1</v>
      </c>
      <c r="B138" s="793" t="str">
        <f>Analisa!A1457</f>
        <v>3.12.3   Pemasangan 1 M² Kaca Polos Tebal 5 mm</v>
      </c>
      <c r="C138" s="794"/>
      <c r="D138" s="795"/>
      <c r="E138" s="796">
        <f>Analisa!G1474</f>
        <v>271342.50000000006</v>
      </c>
      <c r="F138" s="649"/>
    </row>
    <row r="139" spans="1:6" s="413" customFormat="1">
      <c r="A139" s="792">
        <v>2</v>
      </c>
      <c r="B139" s="793" t="str">
        <f>Analisa!A1476</f>
        <v>3.12.5   Pemasangan 1 M² Kaca Polos Tebal 10 mm</v>
      </c>
      <c r="C139" s="794"/>
      <c r="D139" s="795"/>
      <c r="E139" s="796">
        <f>Analisa!G1493</f>
        <v>456944.40000000008</v>
      </c>
      <c r="F139" s="649"/>
    </row>
    <row r="140" spans="1:6" s="413" customFormat="1">
      <c r="A140" s="779">
        <v>3</v>
      </c>
      <c r="B140" s="780" t="str">
        <f>Analisa!A1495</f>
        <v>3.12.13 Pemasangan 1 M² Kaca Tempered Tebal 12 mm</v>
      </c>
      <c r="C140" s="814"/>
      <c r="D140" s="815"/>
      <c r="E140" s="783">
        <f>Analisa!G1512</f>
        <v>556433.35000000009</v>
      </c>
      <c r="F140" s="649"/>
    </row>
    <row r="141" spans="1:6" s="111" customFormat="1" ht="7.5" customHeight="1">
      <c r="A141" s="779"/>
      <c r="B141" s="780"/>
      <c r="C141" s="814"/>
      <c r="D141" s="815"/>
      <c r="E141" s="784"/>
      <c r="F141" s="649"/>
    </row>
    <row r="142" spans="1:6" s="105" customFormat="1">
      <c r="A142" s="792" t="s">
        <v>714</v>
      </c>
      <c r="B142" s="793" t="str">
        <f>Analisa!A1514</f>
        <v>3.18.3 PLAMBING</v>
      </c>
      <c r="C142" s="794"/>
      <c r="D142" s="795"/>
      <c r="E142" s="797"/>
      <c r="F142" s="649"/>
    </row>
    <row r="143" spans="1:6" s="47" customFormat="1">
      <c r="A143" s="792">
        <v>1</v>
      </c>
      <c r="B143" s="793" t="str">
        <f>Analisa!A1515</f>
        <v>3.18.3.1 Pemasangan 1 Buah Closet Duduk/Monoblock TOTO Type CW 660J / SW 660J COMPLIT</v>
      </c>
      <c r="C143" s="794"/>
      <c r="D143" s="795"/>
      <c r="E143" s="796">
        <f>Analisa!G1533</f>
        <v>3418580</v>
      </c>
      <c r="F143" s="649"/>
    </row>
    <row r="144" spans="1:6" s="47" customFormat="1">
      <c r="A144" s="792">
        <v>2</v>
      </c>
      <c r="B144" s="816" t="str">
        <f>Analisa!A1538</f>
        <v>3.18.4.1 Pemasangan 1 Buah Urinoir TOTO U 57 M</v>
      </c>
      <c r="C144" s="817"/>
      <c r="D144" s="795"/>
      <c r="E144" s="796">
        <f>Analisa!G1557</f>
        <v>2639957.1</v>
      </c>
      <c r="F144" s="649"/>
    </row>
    <row r="145" spans="1:6" s="49" customFormat="1">
      <c r="A145" s="792">
        <v>3</v>
      </c>
      <c r="B145" s="793" t="str">
        <f>Analisa!A1559</f>
        <v>3.18.5.3 Pemasangan 1 Buah Bak Fibreglass Volume 0.3 M³</v>
      </c>
      <c r="C145" s="794"/>
      <c r="D145" s="795"/>
      <c r="E145" s="796">
        <f>Analisa!G1578</f>
        <v>665111.69999999995</v>
      </c>
      <c r="F145" s="649"/>
    </row>
    <row r="146" spans="1:6" s="47" customFormat="1">
      <c r="A146" s="792">
        <v>4</v>
      </c>
      <c r="B146" s="793" t="str">
        <f>Analisa!A1580</f>
        <v>3.18.1.1 Pemasangan 1 Buah Wastafel  Toto LW248JR</v>
      </c>
      <c r="C146" s="794"/>
      <c r="D146" s="795"/>
      <c r="E146" s="796">
        <f>Analisa!G1597</f>
        <v>805572.9</v>
      </c>
      <c r="F146" s="649"/>
    </row>
    <row r="147" spans="1:6" s="111" customFormat="1">
      <c r="A147" s="792">
        <v>5</v>
      </c>
      <c r="B147" s="799" t="str">
        <f>Analisa!A1599</f>
        <v>3.18.1.1 Pemasangan 1 Buah Kitchen Zink Royal SB 38 (Sayap 86 x 43 x 15.5)</v>
      </c>
      <c r="C147" s="794"/>
      <c r="D147" s="800"/>
      <c r="E147" s="801">
        <f>Analisa!G1616</f>
        <v>1016772.9</v>
      </c>
      <c r="F147" s="649"/>
    </row>
    <row r="148" spans="1:6" s="105" customFormat="1">
      <c r="A148" s="792">
        <v>6</v>
      </c>
      <c r="B148" s="793" t="str">
        <f>Analisa!A1618</f>
        <v>3.18.6.1 Pemasangan 1 Buah Floor Drain Stynles</v>
      </c>
      <c r="C148" s="794"/>
      <c r="D148" s="795"/>
      <c r="E148" s="796">
        <f>Analisa!G1635</f>
        <v>123597.1</v>
      </c>
      <c r="F148" s="649"/>
    </row>
    <row r="149" spans="1:6" s="105" customFormat="1">
      <c r="A149" s="792">
        <v>7</v>
      </c>
      <c r="B149" s="793" t="str">
        <f>Analisa!A1637</f>
        <v>3.18.6.2 Pemasangan 1 Buah Kran Air Onda  ½" CLS4</v>
      </c>
      <c r="C149" s="794"/>
      <c r="D149" s="795"/>
      <c r="E149" s="796">
        <f>Analisa!G1655</f>
        <v>147920.85</v>
      </c>
      <c r="F149" s="649"/>
    </row>
    <row r="150" spans="1:6" s="105" customFormat="1">
      <c r="A150" s="792">
        <v>8</v>
      </c>
      <c r="B150" s="816" t="str">
        <f>Analisa!A1657</f>
        <v xml:space="preserve">3.18.6.2a Pemasangan 1 Buah Kran Wastafel TOTO  TX109 KEA Diameter ½” </v>
      </c>
      <c r="C150" s="817"/>
      <c r="D150" s="795"/>
      <c r="E150" s="796">
        <f>Analisa!G1674</f>
        <v>834870.85</v>
      </c>
      <c r="F150" s="649"/>
    </row>
    <row r="151" spans="1:6" s="111" customFormat="1">
      <c r="A151" s="792">
        <v>9</v>
      </c>
      <c r="B151" s="818" t="str">
        <f>Analisa!A1676</f>
        <v xml:space="preserve">3.18.6.2b Pemasangan 1 Buah Kran Wastafel TOTO  TX609K Diameter ½” </v>
      </c>
      <c r="C151" s="817"/>
      <c r="D151" s="800"/>
      <c r="E151" s="801">
        <f>Analisa!G1693</f>
        <v>724870.85</v>
      </c>
      <c r="F151" s="649"/>
    </row>
    <row r="152" spans="1:6" s="105" customFormat="1">
      <c r="A152" s="792">
        <v>10</v>
      </c>
      <c r="B152" s="793" t="str">
        <f>Analisa!A1695</f>
        <v>3.18.6.3 Pemasangan 1 Buah Jet Washer  TOTO THX20NB</v>
      </c>
      <c r="C152" s="794"/>
      <c r="D152" s="795"/>
      <c r="E152" s="796">
        <f>Analisa!G1712</f>
        <v>339870.85</v>
      </c>
      <c r="F152" s="649"/>
    </row>
    <row r="153" spans="1:6" s="105" customFormat="1" ht="7.5" customHeight="1">
      <c r="A153" s="792"/>
      <c r="B153" s="793"/>
      <c r="C153" s="794"/>
      <c r="D153" s="795"/>
      <c r="E153" s="797"/>
      <c r="F153" s="649"/>
    </row>
    <row r="154" spans="1:6" s="105" customFormat="1">
      <c r="A154" s="792" t="s">
        <v>715</v>
      </c>
      <c r="B154" s="793" t="str">
        <f>Analisa!A1714</f>
        <v>5.  ELEKTRCAL</v>
      </c>
      <c r="C154" s="794"/>
      <c r="D154" s="795"/>
      <c r="E154" s="796"/>
      <c r="F154" s="649"/>
    </row>
    <row r="155" spans="1:6" s="413" customFormat="1">
      <c r="A155" s="792">
        <v>1</v>
      </c>
      <c r="B155" s="793" t="str">
        <f>Analisa!A1715</f>
        <v>5.3.1.1   Pemasangan 1 titik Instalasi Lampu</v>
      </c>
      <c r="C155" s="794"/>
      <c r="D155" s="795"/>
      <c r="E155" s="796">
        <f>Analisa!G1740</f>
        <v>390571.5</v>
      </c>
      <c r="F155" s="649"/>
    </row>
    <row r="156" spans="1:6" s="413" customFormat="1">
      <c r="A156" s="792">
        <v>2</v>
      </c>
      <c r="B156" s="793" t="str">
        <f>Analisa!A1743</f>
        <v>5.3.1.2   Pemasangan 1 titik Instalasi Stop Kontak</v>
      </c>
      <c r="C156" s="794"/>
      <c r="D156" s="795"/>
      <c r="E156" s="796">
        <f>Analisa!G1765</f>
        <v>247714.5</v>
      </c>
      <c r="F156" s="649"/>
    </row>
    <row r="157" spans="1:6" s="413" customFormat="1">
      <c r="A157" s="792">
        <v>3</v>
      </c>
      <c r="B157" s="793" t="str">
        <f>Analisa!A1767</f>
        <v>5.1.5.1   Pemasangan 1 Unit Saklar Tunggal</v>
      </c>
      <c r="C157" s="794"/>
      <c r="D157" s="795"/>
      <c r="E157" s="796">
        <f>Analisa!G1783</f>
        <v>46915</v>
      </c>
      <c r="F157" s="649"/>
    </row>
    <row r="158" spans="1:6" s="413" customFormat="1">
      <c r="A158" s="792">
        <v>4</v>
      </c>
      <c r="B158" s="793" t="str">
        <f>Analisa!A1785</f>
        <v>5.1.5.2   Pemasangan 1 Unit Saklar Ganda</v>
      </c>
      <c r="C158" s="794"/>
      <c r="D158" s="795"/>
      <c r="E158" s="796">
        <f>Analisa!G1801</f>
        <v>52965</v>
      </c>
      <c r="F158" s="649"/>
    </row>
    <row r="159" spans="1:6" s="413" customFormat="1">
      <c r="A159" s="792">
        <v>6</v>
      </c>
      <c r="B159" s="793" t="str">
        <f>Analisa!A1803</f>
        <v>5.1.5.10 Pemasangan 1 Unit Stop Kontak  1 Lobang</v>
      </c>
      <c r="C159" s="794"/>
      <c r="D159" s="795"/>
      <c r="E159" s="796">
        <f>Analisa!G1819</f>
        <v>53691</v>
      </c>
      <c r="F159" s="649"/>
    </row>
    <row r="160" spans="1:6" s="413" customFormat="1">
      <c r="A160" s="792">
        <v>7</v>
      </c>
      <c r="B160" s="793" t="str">
        <f>Analisa!A1821</f>
        <v>5.1.5.10a Pemasangan 1 Unit Stop Kontak  3 Lobang</v>
      </c>
      <c r="C160" s="794"/>
      <c r="D160" s="795"/>
      <c r="E160" s="796">
        <f>Analisa!G1837</f>
        <v>89991</v>
      </c>
      <c r="F160" s="649"/>
    </row>
    <row r="161" spans="1:6" s="413" customFormat="1">
      <c r="A161" s="792">
        <v>8</v>
      </c>
      <c r="B161" s="793" t="str">
        <f>Analisa!A1841</f>
        <v>5.1.5.12 Pemasangan 1 Unit Stop Kontak AC</v>
      </c>
      <c r="C161" s="794"/>
      <c r="D161" s="795"/>
      <c r="E161" s="796">
        <f>Analisa!G1857</f>
        <v>95304</v>
      </c>
      <c r="F161" s="649"/>
    </row>
    <row r="162" spans="1:6" s="413" customFormat="1">
      <c r="A162" s="798"/>
      <c r="B162" s="799" t="str">
        <f>Analisa!A1859</f>
        <v>5.1.5.13 Pemasangan 1 bh Led  Ultra Thin Downlight DQ-MBR-002  ( Ø145mm) 19 Watt setara Hori</v>
      </c>
      <c r="C162" s="794"/>
      <c r="D162" s="800"/>
      <c r="E162" s="801">
        <f>Analisa!G1875</f>
        <v>167343</v>
      </c>
      <c r="F162" s="649"/>
    </row>
    <row r="163" spans="1:6" s="413" customFormat="1">
      <c r="A163" s="798"/>
      <c r="B163" s="799" t="str">
        <f>Analisa!A1877</f>
        <v>5.1.5.14 Pemasangan 1 bh Led  Ultra Thin Downlight DQ-MBR-002  ( Ø145mm) 10 Watt setara Hori</v>
      </c>
      <c r="C163" s="794"/>
      <c r="D163" s="800"/>
      <c r="E163" s="801">
        <f>Analisa!G1893</f>
        <v>143143.00000000003</v>
      </c>
      <c r="F163" s="649"/>
    </row>
    <row r="164" spans="1:6" s="111" customFormat="1" ht="6" customHeight="1">
      <c r="A164" s="798"/>
      <c r="B164" s="799"/>
      <c r="C164" s="794"/>
      <c r="D164" s="800"/>
      <c r="E164" s="801"/>
      <c r="F164" s="649"/>
    </row>
    <row r="165" spans="1:6" s="105" customFormat="1">
      <c r="A165" s="792" t="s">
        <v>716</v>
      </c>
      <c r="B165" s="793" t="str">
        <f>Analisa!A1911</f>
        <v xml:space="preserve">5.5.4 Pemasangan Pipa </v>
      </c>
      <c r="C165" s="794"/>
      <c r="D165" s="795"/>
      <c r="E165" s="796"/>
      <c r="F165" s="649"/>
    </row>
    <row r="166" spans="1:6" s="105" customFormat="1">
      <c r="A166" s="792">
        <v>1</v>
      </c>
      <c r="B166" s="793" t="str">
        <f>Analisa!A1912</f>
        <v>5.5.4.11 Pemasangan 1 m Pipa PVC AW ; Dia. 1/2" ; (15 mm)</v>
      </c>
      <c r="C166" s="794"/>
      <c r="D166" s="795"/>
      <c r="E166" s="796">
        <f>Analisa!G1929</f>
        <v>28052.2</v>
      </c>
      <c r="F166" s="649"/>
    </row>
    <row r="167" spans="1:6" s="105" customFormat="1">
      <c r="A167" s="792">
        <v>2</v>
      </c>
      <c r="B167" s="793" t="str">
        <f>Analisa!A1931</f>
        <v>5.5.4.12 Pemasangan 1 m Pipa PVC AW ; Dia. 3/4" ; (20 mm)</v>
      </c>
      <c r="C167" s="794"/>
      <c r="D167" s="795"/>
      <c r="E167" s="796">
        <f>Analisa!G1948</f>
        <v>37710.199999999997</v>
      </c>
      <c r="F167" s="649"/>
    </row>
    <row r="168" spans="1:6" s="105" customFormat="1">
      <c r="A168" s="792">
        <v>3</v>
      </c>
      <c r="B168" s="793" t="str">
        <f>Analisa!A1950</f>
        <v>5.5.4.17 Pemasangan 1 m Pipa PVC AW ; Dia. 2-1/2" ; (65 mm)</v>
      </c>
      <c r="C168" s="794"/>
      <c r="D168" s="795"/>
      <c r="E168" s="796">
        <f>Analisa!G1967</f>
        <v>151802.20000000001</v>
      </c>
      <c r="F168" s="649"/>
    </row>
    <row r="169" spans="1:6" s="105" customFormat="1">
      <c r="A169" s="792">
        <v>4</v>
      </c>
      <c r="B169" s="793" t="str">
        <f>Analisa!A1969</f>
        <v>5.5.4.19 Pemasangan 1 m Pipa PVC AW ; Dia. 4" ; (100 mm)</v>
      </c>
      <c r="C169" s="794"/>
      <c r="D169" s="795"/>
      <c r="E169" s="796">
        <f>Analisa!G1986</f>
        <v>281310.7</v>
      </c>
      <c r="F169" s="649"/>
    </row>
    <row r="170" spans="1:6" s="111" customFormat="1">
      <c r="A170" s="822"/>
      <c r="B170" s="823" t="str">
        <f>Analisa!A1988</f>
        <v>5.5.4.1. Pemasangan 1 m’ pipa galvanis diameter 1”</v>
      </c>
      <c r="C170" s="794"/>
      <c r="D170" s="824"/>
      <c r="E170" s="825">
        <f>Analisa!G2005</f>
        <v>206574.08749999999</v>
      </c>
      <c r="F170" s="649"/>
    </row>
    <row r="171" spans="1:6" s="111" customFormat="1">
      <c r="A171" s="822"/>
      <c r="B171" s="823" t="str">
        <f>Analisa!A2007</f>
        <v>5.5.4.2. Pemasangan 1 m’ pipa galvanis diameter 2”</v>
      </c>
      <c r="C171" s="794"/>
      <c r="D171" s="824"/>
      <c r="E171" s="825">
        <f>Analisa!G2025</f>
        <v>312286.97499999998</v>
      </c>
      <c r="F171" s="649"/>
    </row>
    <row r="172" spans="1:6" s="47" customFormat="1">
      <c r="A172" s="792"/>
      <c r="B172" s="793" t="str">
        <f>Analisa!A2027</f>
        <v>5.5.4.3. Pemasangan 1 m’ pipa galvanis diameter 3”</v>
      </c>
      <c r="C172" s="794"/>
      <c r="D172" s="795"/>
      <c r="E172" s="826">
        <f>Analisa!G2045</f>
        <v>468625.57500000001</v>
      </c>
      <c r="F172" s="649"/>
    </row>
    <row r="173" spans="1:6" s="111" customFormat="1">
      <c r="A173" s="798"/>
      <c r="B173" s="799" t="str">
        <f>Analisa!A2057</f>
        <v>5.5.4.4. Pemasangan 1 m’ pipa galvanis diameter 4”</v>
      </c>
      <c r="C173" s="794"/>
      <c r="D173" s="800"/>
      <c r="E173" s="827">
        <f>Analisa!G2075</f>
        <v>642608.03749999998</v>
      </c>
      <c r="F173" s="649"/>
    </row>
    <row r="174" spans="1:6" s="111" customFormat="1" ht="7.5" customHeight="1">
      <c r="A174" s="798"/>
      <c r="B174" s="799"/>
      <c r="C174" s="794"/>
      <c r="D174" s="800"/>
      <c r="E174" s="827"/>
      <c r="F174" s="649"/>
    </row>
    <row r="175" spans="1:6" s="47" customFormat="1">
      <c r="A175" s="792">
        <v>5</v>
      </c>
      <c r="B175" s="793" t="str">
        <f>Analisa!A2077</f>
        <v>11.6.1  Pemasangan 1 M² Batu Candi Style Bali</v>
      </c>
      <c r="C175" s="794"/>
      <c r="D175" s="795"/>
      <c r="E175" s="796">
        <f>Analisa!G2094</f>
        <v>1166826.2100000002</v>
      </c>
      <c r="F175" s="649"/>
    </row>
    <row r="176" spans="1:6" s="47" customFormat="1">
      <c r="A176" s="792">
        <v>6</v>
      </c>
      <c r="B176" s="793" t="str">
        <f>Analisa!A2096</f>
        <v>11.6.4  Pemasangan 1 M² Bata Gosok Style Bali</v>
      </c>
      <c r="C176" s="794"/>
      <c r="D176" s="795"/>
      <c r="E176" s="796">
        <f>Analisa!G2113</f>
        <v>1314049</v>
      </c>
      <c r="F176" s="649"/>
    </row>
    <row r="177" spans="1:6" s="47" customFormat="1" ht="9" customHeight="1">
      <c r="A177" s="792"/>
      <c r="B177" s="793"/>
      <c r="C177" s="794"/>
      <c r="D177" s="795"/>
      <c r="E177" s="797"/>
      <c r="F177" s="649"/>
    </row>
    <row r="178" spans="1:6" s="47" customFormat="1">
      <c r="A178" s="792">
        <v>7</v>
      </c>
      <c r="B178" s="793" t="str">
        <f>Analisa!A2115</f>
        <v>11..7.1  Pengecatan 1 M² Pelapisan Batu Alam (Coathing)</v>
      </c>
      <c r="C178" s="794"/>
      <c r="D178" s="795"/>
      <c r="E178" s="796">
        <f>Analisa!G2133</f>
        <v>45507</v>
      </c>
      <c r="F178" s="649"/>
    </row>
    <row r="179" spans="1:6" s="47" customFormat="1" ht="10.5" customHeight="1">
      <c r="A179" s="792" t="s">
        <v>337</v>
      </c>
      <c r="B179" s="793"/>
      <c r="C179" s="794"/>
      <c r="D179" s="795"/>
      <c r="E179" s="797"/>
      <c r="F179" s="649"/>
    </row>
    <row r="180" spans="1:6" s="47" customFormat="1">
      <c r="A180" s="792">
        <v>8</v>
      </c>
      <c r="B180" s="793" t="str">
        <f>Analisa!A2135</f>
        <v>A.4.4.3.53G Pemasangan 1 m2 dinding batu terracotta 20 cm x 20 cm (Pakai Dinding Keramik 20x20)</v>
      </c>
      <c r="C180" s="794"/>
      <c r="D180" s="795"/>
      <c r="E180" s="796">
        <f>Analisa!G2154</f>
        <v>558200.5</v>
      </c>
      <c r="F180" s="649"/>
    </row>
    <row r="181" spans="1:6" s="47" customFormat="1" ht="7.5" customHeight="1">
      <c r="A181" s="792"/>
      <c r="B181" s="793"/>
      <c r="C181" s="794"/>
      <c r="D181" s="795"/>
      <c r="E181" s="797"/>
      <c r="F181" s="649"/>
    </row>
    <row r="182" spans="1:6" s="47" customFormat="1">
      <c r="A182" s="792">
        <v>9</v>
      </c>
      <c r="B182" s="774" t="str">
        <f>Analisa!A2156</f>
        <v>A.8.4.6.32 Pemasangan 1 unit penangkal petir ( 1 blitzem + 3 tombak )</v>
      </c>
      <c r="C182" s="775"/>
      <c r="D182" s="772"/>
      <c r="E182" s="826">
        <f>Analisa!G2181</f>
        <v>7341023</v>
      </c>
      <c r="F182" s="649"/>
    </row>
    <row r="183" spans="1:6" s="111" customFormat="1" ht="6" customHeight="1">
      <c r="A183" s="798"/>
      <c r="B183" s="799"/>
      <c r="C183" s="794"/>
      <c r="D183" s="800"/>
      <c r="E183" s="827"/>
      <c r="F183" s="649"/>
    </row>
    <row r="184" spans="1:6" s="111" customFormat="1">
      <c r="A184" s="798"/>
      <c r="B184" s="799" t="str">
        <f>Analisa!A2183</f>
        <v>A.4.7.1.23.  1 M2 Pekerjaan Waterproofing</v>
      </c>
      <c r="C184" s="794"/>
      <c r="D184" s="800"/>
      <c r="E184" s="827">
        <f>Analisa!G2202</f>
        <v>73540</v>
      </c>
      <c r="F184" s="649"/>
    </row>
    <row r="185" spans="1:6" s="111" customFormat="1" ht="7.5" customHeight="1">
      <c r="A185" s="798"/>
      <c r="B185" s="799"/>
      <c r="C185" s="794"/>
      <c r="D185" s="800"/>
      <c r="E185" s="827"/>
      <c r="F185" s="649"/>
    </row>
    <row r="186" spans="1:6" s="111" customFormat="1">
      <c r="A186" s="798"/>
      <c r="B186" s="799" t="str">
        <f>Analisa!A2206</f>
        <v>A.4.5.2.52. Pekerjaan 1 m Lisplank dan Tatab Seven ACP T= 4 mm Exterior</v>
      </c>
      <c r="C186" s="794"/>
      <c r="D186" s="800"/>
      <c r="E186" s="827">
        <f>Analisa!G2225</f>
        <v>182237</v>
      </c>
      <c r="F186" s="649"/>
    </row>
    <row r="187" spans="1:6" s="111" customFormat="1" ht="8.25" customHeight="1">
      <c r="A187" s="798"/>
      <c r="B187" s="799"/>
      <c r="C187" s="794"/>
      <c r="D187" s="800"/>
      <c r="E187" s="827"/>
      <c r="F187" s="649"/>
    </row>
    <row r="188" spans="1:6" s="111" customFormat="1">
      <c r="A188" s="798"/>
      <c r="B188" s="799" t="str">
        <f>Analisa!A2227</f>
        <v>8.3.1.3   1 M' BC - 40.40.120.10 cm  (K-350) ( Gandar 10 ton) dengan lantai kerja f'c 10 Mpa</v>
      </c>
      <c r="C188" s="794"/>
      <c r="D188" s="800"/>
      <c r="E188" s="827">
        <f>Analisa!G2245</f>
        <v>1810546.4037496394</v>
      </c>
      <c r="F188" s="649"/>
    </row>
    <row r="189" spans="1:6" s="111" customFormat="1">
      <c r="A189" s="798"/>
      <c r="B189" s="799" t="str">
        <f>Analisa!A2247</f>
        <v>8.3.1.4   1 M' Pasangan SBP Tipe U 30/30/120, T= 10(K-350) dengan lantai kerja f'c 10 Mpa</v>
      </c>
      <c r="C189" s="794"/>
      <c r="D189" s="800"/>
      <c r="E189" s="827">
        <f>Analisa!G2265</f>
        <v>671635.15041630599</v>
      </c>
      <c r="F189" s="649"/>
    </row>
    <row r="190" spans="1:6" s="111" customFormat="1">
      <c r="A190" s="822"/>
      <c r="B190" s="823" t="str">
        <f>Analisa!A2275</f>
        <v>8.3.1.5   1 M' Pasangan SBP + Penutup Tipe U 30/30/120, T= 10(K-350) dengan lantai kerja f'c 10 Mpa</v>
      </c>
      <c r="C190" s="794"/>
      <c r="D190" s="824"/>
      <c r="E190" s="828">
        <f>Analisa!G2294</f>
        <v>929629.73708297277</v>
      </c>
      <c r="F190" s="649"/>
    </row>
    <row r="191" spans="1:6" s="111" customFormat="1" ht="9" customHeight="1">
      <c r="A191" s="822"/>
      <c r="B191" s="823"/>
      <c r="C191" s="794"/>
      <c r="D191" s="824"/>
      <c r="E191" s="828"/>
      <c r="F191" s="649"/>
    </row>
    <row r="192" spans="1:6" s="111" customFormat="1">
      <c r="A192" s="798"/>
      <c r="B192" s="799" t="str">
        <f>Analisa!A2296</f>
        <v>8.4.1.5   Pekerjaan 1 unt Tiang Bendera</v>
      </c>
      <c r="C192" s="794"/>
      <c r="D192" s="800"/>
      <c r="E192" s="827">
        <f>Analisa!G2309</f>
        <v>11486185.589586193</v>
      </c>
      <c r="F192" s="649"/>
    </row>
    <row r="193" spans="1:6" s="111" customFormat="1" ht="7.5" customHeight="1">
      <c r="A193" s="822"/>
      <c r="B193" s="823"/>
      <c r="C193" s="794"/>
      <c r="D193" s="824"/>
      <c r="E193" s="828"/>
      <c r="F193" s="649"/>
    </row>
    <row r="194" spans="1:6" s="111" customFormat="1">
      <c r="A194" s="798"/>
      <c r="B194" s="799" t="str">
        <f>Analisa!A2311</f>
        <v>8.4.1.6   Pekerjaan 1 unt Papan Nama Fakultas</v>
      </c>
      <c r="C194" s="794"/>
      <c r="D194" s="800"/>
      <c r="E194" s="827">
        <f>Analisa!G2323</f>
        <v>82102519.978166282</v>
      </c>
      <c r="F194" s="649"/>
    </row>
    <row r="195" spans="1:6" s="111" customFormat="1" ht="7.5" customHeight="1">
      <c r="A195" s="822"/>
      <c r="B195" s="823"/>
      <c r="C195" s="794"/>
      <c r="D195" s="824"/>
      <c r="E195" s="828"/>
      <c r="F195" s="649"/>
    </row>
    <row r="196" spans="1:6" s="111" customFormat="1">
      <c r="A196" s="798"/>
      <c r="B196" s="799" t="str">
        <f>Analisa!A2344</f>
        <v>8.4.1.7   Pekerjaan 1 unt LampuTaman</v>
      </c>
      <c r="C196" s="794"/>
      <c r="D196" s="800"/>
      <c r="E196" s="827">
        <f>Analisa!G2359</f>
        <v>3438502.8830952384</v>
      </c>
      <c r="F196" s="649"/>
    </row>
    <row r="197" spans="1:6" s="111" customFormat="1" ht="8.25" customHeight="1">
      <c r="A197" s="822"/>
      <c r="B197" s="823"/>
      <c r="C197" s="794"/>
      <c r="D197" s="824"/>
      <c r="E197" s="828"/>
      <c r="F197" s="649"/>
    </row>
    <row r="198" spans="1:6" s="111" customFormat="1">
      <c r="A198" s="822"/>
      <c r="B198" s="823" t="str">
        <f>Analisa!A2361</f>
        <v xml:space="preserve">8.4.1.8   Pemasangan  1  M'  Kanstin  Ukuran  15x30x50  cm </v>
      </c>
      <c r="C198" s="794"/>
      <c r="D198" s="824"/>
      <c r="E198" s="828">
        <f>Analisa!G2378</f>
        <v>162617.12617857143</v>
      </c>
      <c r="F198" s="649"/>
    </row>
    <row r="199" spans="1:6" s="111" customFormat="1" ht="6" customHeight="1">
      <c r="A199" s="822"/>
      <c r="B199" s="823"/>
      <c r="C199" s="794"/>
      <c r="D199" s="824"/>
      <c r="E199" s="828"/>
      <c r="F199" s="649"/>
    </row>
    <row r="200" spans="1:6" s="111" customFormat="1">
      <c r="A200" s="822"/>
      <c r="B200" s="823" t="str">
        <f>Analisa!A2380</f>
        <v>8.4.1.9  Pekerjaan 1 unt Lampu Sorot</v>
      </c>
      <c r="C200" s="794"/>
      <c r="D200" s="824"/>
      <c r="E200" s="828">
        <f>Analisa!G2389</f>
        <v>665571.5</v>
      </c>
      <c r="F200" s="649"/>
    </row>
    <row r="201" spans="1:6" ht="6.75" customHeight="1" thickBot="1">
      <c r="A201" s="807"/>
      <c r="B201" s="808"/>
      <c r="C201" s="809"/>
      <c r="D201" s="810"/>
      <c r="E201" s="811"/>
    </row>
    <row r="202" spans="1:6" ht="15" thickTop="1"/>
    <row r="203" spans="1:6">
      <c r="D203" s="1882" t="s">
        <v>682</v>
      </c>
      <c r="E203" s="1882"/>
    </row>
    <row r="204" spans="1:6">
      <c r="D204" s="1883" t="s">
        <v>683</v>
      </c>
      <c r="E204" s="1883"/>
    </row>
    <row r="205" spans="1:6">
      <c r="D205" s="1880"/>
      <c r="E205" s="1880"/>
    </row>
    <row r="206" spans="1:6">
      <c r="D206" s="1880"/>
      <c r="E206" s="1880"/>
    </row>
    <row r="207" spans="1:6">
      <c r="D207" s="1880"/>
      <c r="E207" s="1880"/>
    </row>
    <row r="208" spans="1:6">
      <c r="D208" s="1880"/>
      <c r="E208" s="1880"/>
    </row>
    <row r="209" spans="4:5">
      <c r="D209" s="1881" t="s">
        <v>684</v>
      </c>
      <c r="E209" s="1881"/>
    </row>
    <row r="210" spans="4:5">
      <c r="D210" s="1882" t="s">
        <v>685</v>
      </c>
      <c r="E210" s="1882"/>
    </row>
  </sheetData>
  <mergeCells count="16">
    <mergeCell ref="B63:D63"/>
    <mergeCell ref="B134:D134"/>
    <mergeCell ref="B135:D135"/>
    <mergeCell ref="A1:E1"/>
    <mergeCell ref="A2:E2"/>
    <mergeCell ref="B4:D4"/>
    <mergeCell ref="B5:D5"/>
    <mergeCell ref="B62:D62"/>
    <mergeCell ref="D208:E208"/>
    <mergeCell ref="D209:E209"/>
    <mergeCell ref="D210:E210"/>
    <mergeCell ref="D203:E203"/>
    <mergeCell ref="D204:E204"/>
    <mergeCell ref="D205:E205"/>
    <mergeCell ref="D206:E206"/>
    <mergeCell ref="D207:E207"/>
  </mergeCells>
  <pageMargins left="0.75" right="0.2" top="0.75" bottom="0.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P338"/>
  <sheetViews>
    <sheetView showGridLines="0" view="pageBreakPreview" topLeftCell="A314" zoomScale="93" zoomScaleNormal="40" zoomScaleSheetLayoutView="93" zoomScalePageLayoutView="55" workbookViewId="0">
      <selection activeCell="C303" sqref="C303"/>
    </sheetView>
  </sheetViews>
  <sheetFormatPr defaultColWidth="9" defaultRowHeight="16.5"/>
  <cols>
    <col min="1" max="1" width="1.25" style="2" customWidth="1"/>
    <col min="2" max="2" width="4.875" style="14" customWidth="1"/>
    <col min="3" max="3" width="50.25" style="14" customWidth="1"/>
    <col min="4" max="4" width="6.5" style="14" customWidth="1"/>
    <col min="5" max="5" width="13.5" style="125" customWidth="1"/>
    <col min="6" max="6" width="8.75" style="14" customWidth="1"/>
    <col min="7" max="7" width="9.625" style="376" bestFit="1" customWidth="1"/>
    <col min="8" max="8" width="9" style="2"/>
    <col min="9" max="9" width="4.25" style="2" customWidth="1"/>
    <col min="10" max="10" width="1.75" style="2" customWidth="1"/>
    <col min="11" max="11" width="2.75" style="2" customWidth="1"/>
    <col min="12" max="12" width="32" style="2" customWidth="1"/>
    <col min="13" max="16384" width="9" style="2"/>
  </cols>
  <sheetData>
    <row r="2" spans="1:15" ht="19.899999999999999" customHeight="1">
      <c r="A2" s="1"/>
      <c r="B2" s="1891" t="s">
        <v>134</v>
      </c>
      <c r="C2" s="1891"/>
      <c r="D2" s="1891"/>
      <c r="E2" s="1891"/>
      <c r="F2" s="1891"/>
    </row>
    <row r="3" spans="1:15" ht="15" customHeight="1">
      <c r="A3" s="1"/>
      <c r="B3" s="1891" t="s">
        <v>1030</v>
      </c>
      <c r="C3" s="1891"/>
      <c r="D3" s="1891"/>
      <c r="E3" s="1891"/>
      <c r="F3" s="1891"/>
    </row>
    <row r="4" spans="1:15" ht="7.5" customHeight="1" thickBot="1">
      <c r="B4" s="13"/>
      <c r="C4" s="13"/>
      <c r="D4" s="13"/>
      <c r="E4" s="122"/>
      <c r="F4" s="13"/>
    </row>
    <row r="5" spans="1:15" ht="15" customHeight="1" thickTop="1">
      <c r="B5" s="844" t="s">
        <v>0</v>
      </c>
      <c r="C5" s="845" t="s">
        <v>65</v>
      </c>
      <c r="D5" s="846" t="s">
        <v>1</v>
      </c>
      <c r="E5" s="847" t="s">
        <v>132</v>
      </c>
      <c r="F5" s="848" t="s">
        <v>113</v>
      </c>
    </row>
    <row r="6" spans="1:15" ht="15" customHeight="1" thickBot="1">
      <c r="B6" s="849">
        <v>1</v>
      </c>
      <c r="C6" s="850">
        <v>2</v>
      </c>
      <c r="D6" s="850">
        <v>3</v>
      </c>
      <c r="E6" s="851">
        <v>4</v>
      </c>
      <c r="F6" s="852">
        <v>5</v>
      </c>
    </row>
    <row r="7" spans="1:15" ht="10.5" customHeight="1" thickTop="1">
      <c r="B7" s="21"/>
      <c r="C7" s="126"/>
      <c r="D7" s="126"/>
      <c r="E7" s="127"/>
      <c r="F7" s="22"/>
    </row>
    <row r="8" spans="1:15" s="4" customFormat="1" ht="14.25" customHeight="1">
      <c r="B8" s="128"/>
      <c r="C8" s="1703" t="s">
        <v>144</v>
      </c>
      <c r="D8" s="129"/>
      <c r="E8" s="130"/>
      <c r="F8" s="131"/>
      <c r="G8" s="376"/>
    </row>
    <row r="9" spans="1:15" s="4" customFormat="1" ht="14.25" customHeight="1">
      <c r="B9" s="132">
        <v>1</v>
      </c>
      <c r="C9" s="1704" t="s">
        <v>169</v>
      </c>
      <c r="D9" s="129" t="s">
        <v>273</v>
      </c>
      <c r="E9" s="1714">
        <v>250000</v>
      </c>
      <c r="F9" s="131"/>
      <c r="G9" s="376"/>
      <c r="L9" s="1714">
        <v>250000</v>
      </c>
    </row>
    <row r="10" spans="1:15" s="4" customFormat="1" ht="14.25" customHeight="1">
      <c r="B10" s="134">
        <v>2</v>
      </c>
      <c r="C10" s="1705" t="s">
        <v>465</v>
      </c>
      <c r="D10" s="135" t="s">
        <v>357</v>
      </c>
      <c r="E10" s="1714">
        <v>100000</v>
      </c>
      <c r="F10" s="136"/>
      <c r="G10" s="376"/>
      <c r="K10" s="339"/>
      <c r="L10" s="1714">
        <v>100000</v>
      </c>
      <c r="M10" s="339"/>
      <c r="N10" s="339"/>
      <c r="O10" s="339"/>
    </row>
    <row r="11" spans="1:15" s="4" customFormat="1" ht="14.25" customHeight="1">
      <c r="B11" s="134">
        <v>3</v>
      </c>
      <c r="C11" s="1705" t="s">
        <v>466</v>
      </c>
      <c r="D11" s="135" t="s">
        <v>48</v>
      </c>
      <c r="E11" s="1714">
        <v>500000</v>
      </c>
      <c r="F11" s="136"/>
      <c r="G11" s="376"/>
      <c r="L11" s="1714">
        <v>500000</v>
      </c>
    </row>
    <row r="12" spans="1:15" s="4" customFormat="1" ht="14.25" customHeight="1">
      <c r="B12" s="134"/>
      <c r="C12" s="1706" t="s">
        <v>420</v>
      </c>
      <c r="D12" s="135"/>
      <c r="E12" s="1715"/>
      <c r="F12" s="136"/>
      <c r="G12" s="376"/>
      <c r="K12" s="340"/>
      <c r="L12" s="1715"/>
      <c r="M12" s="340"/>
      <c r="N12" s="340"/>
      <c r="O12" s="340"/>
    </row>
    <row r="13" spans="1:15" s="4" customFormat="1" ht="14.25" customHeight="1">
      <c r="B13" s="134">
        <v>4</v>
      </c>
      <c r="C13" s="1789" t="s">
        <v>1067</v>
      </c>
      <c r="D13" s="135" t="s">
        <v>1063</v>
      </c>
      <c r="E13" s="1715">
        <v>2000000</v>
      </c>
      <c r="F13" s="136"/>
      <c r="G13" s="376"/>
      <c r="L13" s="1715">
        <v>2000000</v>
      </c>
    </row>
    <row r="14" spans="1:15" s="4" customFormat="1" ht="14.25" customHeight="1">
      <c r="B14" s="134"/>
      <c r="C14" s="1706" t="s">
        <v>136</v>
      </c>
      <c r="D14" s="135"/>
      <c r="E14" s="1715"/>
      <c r="F14" s="136"/>
      <c r="G14" s="376"/>
      <c r="L14" s="1715"/>
      <c r="M14" s="339"/>
      <c r="N14" s="339"/>
      <c r="O14" s="339"/>
    </row>
    <row r="15" spans="1:15" s="4" customFormat="1" ht="14.25" customHeight="1">
      <c r="B15" s="134">
        <v>5</v>
      </c>
      <c r="C15" s="1789" t="s">
        <v>424</v>
      </c>
      <c r="D15" s="135" t="s">
        <v>329</v>
      </c>
      <c r="E15" s="1715">
        <v>150000</v>
      </c>
      <c r="F15" s="136"/>
      <c r="G15" s="376"/>
      <c r="L15" s="1715">
        <v>150000</v>
      </c>
    </row>
    <row r="16" spans="1:15" s="4" customFormat="1" ht="14.25" customHeight="1">
      <c r="B16" s="134"/>
      <c r="C16" s="1706" t="s">
        <v>145</v>
      </c>
      <c r="D16" s="135"/>
      <c r="E16" s="1715"/>
      <c r="F16" s="136"/>
      <c r="G16" s="376"/>
      <c r="L16" s="1715"/>
    </row>
    <row r="17" spans="2:16" s="4" customFormat="1" ht="14.25" customHeight="1">
      <c r="B17" s="134">
        <v>7</v>
      </c>
      <c r="C17" s="1704" t="s">
        <v>427</v>
      </c>
      <c r="D17" s="135" t="s">
        <v>291</v>
      </c>
      <c r="E17" s="1716">
        <v>28000</v>
      </c>
      <c r="F17" s="136"/>
      <c r="G17" s="376"/>
      <c r="L17" s="1716">
        <v>28000</v>
      </c>
    </row>
    <row r="18" spans="2:16" s="4" customFormat="1" ht="14.25" customHeight="1">
      <c r="B18" s="134">
        <v>8</v>
      </c>
      <c r="C18" s="1704" t="s">
        <v>788</v>
      </c>
      <c r="D18" s="135" t="s">
        <v>291</v>
      </c>
      <c r="E18" s="1716">
        <v>100000</v>
      </c>
      <c r="F18" s="136"/>
      <c r="G18" s="376"/>
      <c r="L18" s="1716">
        <v>100000</v>
      </c>
    </row>
    <row r="19" spans="2:16" s="4" customFormat="1" ht="14.25" customHeight="1">
      <c r="B19" s="1700">
        <v>9</v>
      </c>
      <c r="C19" s="1704" t="s">
        <v>430</v>
      </c>
      <c r="D19" s="1701" t="s">
        <v>467</v>
      </c>
      <c r="E19" s="1716">
        <v>25000</v>
      </c>
      <c r="F19" s="1702"/>
      <c r="G19" s="376"/>
      <c r="L19" s="1716">
        <v>25000</v>
      </c>
    </row>
    <row r="20" spans="2:16" s="4" customFormat="1" ht="14.25" customHeight="1">
      <c r="B20" s="134">
        <v>10</v>
      </c>
      <c r="C20" s="1704" t="s">
        <v>432</v>
      </c>
      <c r="D20" s="1701" t="s">
        <v>1064</v>
      </c>
      <c r="E20" s="1716">
        <v>5000</v>
      </c>
      <c r="F20" s="1702"/>
      <c r="G20" s="376"/>
      <c r="L20" s="1716">
        <v>5000</v>
      </c>
    </row>
    <row r="21" spans="2:16" s="4" customFormat="1" ht="14.25" customHeight="1">
      <c r="B21" s="1700">
        <v>11</v>
      </c>
      <c r="C21" s="1704" t="s">
        <v>434</v>
      </c>
      <c r="D21" s="1701" t="s">
        <v>1064</v>
      </c>
      <c r="E21" s="1716">
        <v>65000</v>
      </c>
      <c r="F21" s="1702"/>
      <c r="G21" s="376"/>
      <c r="L21" s="1716">
        <v>65000</v>
      </c>
    </row>
    <row r="22" spans="2:16" s="4" customFormat="1" ht="14.25" customHeight="1">
      <c r="B22" s="134">
        <v>12</v>
      </c>
      <c r="C22" s="1704" t="s">
        <v>436</v>
      </c>
      <c r="D22" s="135" t="s">
        <v>291</v>
      </c>
      <c r="E22" s="1715">
        <v>15000</v>
      </c>
      <c r="F22" s="1702"/>
      <c r="G22" s="376"/>
      <c r="L22" s="1715">
        <v>15000</v>
      </c>
    </row>
    <row r="23" spans="2:16" s="4" customFormat="1" ht="14.25" customHeight="1">
      <c r="B23" s="134"/>
      <c r="C23" s="1790" t="s">
        <v>437</v>
      </c>
      <c r="D23" s="135"/>
      <c r="E23" s="1715"/>
      <c r="F23" s="1702"/>
      <c r="G23" s="376"/>
      <c r="L23" s="1715"/>
    </row>
    <row r="24" spans="2:16" s="4" customFormat="1" ht="14.25" customHeight="1">
      <c r="B24" s="1700">
        <v>14</v>
      </c>
      <c r="C24" s="1704" t="s">
        <v>438</v>
      </c>
      <c r="D24" s="135" t="s">
        <v>273</v>
      </c>
      <c r="E24" s="1715">
        <v>1650000</v>
      </c>
      <c r="F24" s="1702"/>
      <c r="G24" s="376"/>
      <c r="L24" s="1715">
        <v>1650000</v>
      </c>
    </row>
    <row r="25" spans="2:16" s="4" customFormat="1" ht="14.25" customHeight="1">
      <c r="B25" s="134"/>
      <c r="C25" s="1791" t="s">
        <v>1065</v>
      </c>
      <c r="E25" s="100"/>
      <c r="F25" s="136"/>
      <c r="G25" s="376"/>
      <c r="L25" s="1781"/>
    </row>
    <row r="26" spans="2:16" s="4" customFormat="1" ht="14.25" customHeight="1">
      <c r="B26" s="1700">
        <v>16</v>
      </c>
      <c r="C26" s="1707" t="s">
        <v>441</v>
      </c>
      <c r="D26" s="137" t="s">
        <v>547</v>
      </c>
      <c r="E26" s="1717">
        <v>4000000</v>
      </c>
      <c r="F26" s="136"/>
      <c r="G26" s="376"/>
      <c r="L26" s="1717">
        <v>4000000</v>
      </c>
    </row>
    <row r="27" spans="2:16" s="4" customFormat="1" ht="14.25" customHeight="1">
      <c r="B27" s="134"/>
      <c r="C27" s="1703" t="s">
        <v>150</v>
      </c>
      <c r="D27" s="129"/>
      <c r="E27" s="1714"/>
      <c r="F27" s="136"/>
      <c r="G27" s="376"/>
      <c r="L27" s="1714"/>
    </row>
    <row r="28" spans="2:16" s="4" customFormat="1" ht="14.25" customHeight="1">
      <c r="B28" s="134">
        <v>17</v>
      </c>
      <c r="C28" s="1704" t="s">
        <v>151</v>
      </c>
      <c r="D28" s="129" t="s">
        <v>273</v>
      </c>
      <c r="E28" s="1714">
        <v>241920</v>
      </c>
      <c r="F28" s="136"/>
      <c r="G28" s="376"/>
      <c r="L28" s="1714">
        <v>241920</v>
      </c>
    </row>
    <row r="29" spans="2:16" s="4" customFormat="1" ht="31.5">
      <c r="B29" s="1700">
        <v>18</v>
      </c>
      <c r="C29" s="1704" t="s">
        <v>446</v>
      </c>
      <c r="D29" s="4" t="s">
        <v>1066</v>
      </c>
      <c r="E29" s="1714">
        <v>75000</v>
      </c>
      <c r="F29" s="136"/>
      <c r="G29" s="376"/>
      <c r="L29" s="1714">
        <v>75000</v>
      </c>
      <c r="M29" s="340"/>
      <c r="N29" s="340"/>
      <c r="O29" s="340"/>
      <c r="P29" s="340"/>
    </row>
    <row r="30" spans="2:16" s="4" customFormat="1" ht="14.25" customHeight="1">
      <c r="B30" s="112"/>
      <c r="C30" s="133"/>
      <c r="D30" s="129"/>
      <c r="E30" s="1714"/>
      <c r="F30" s="138"/>
      <c r="G30" s="376"/>
      <c r="L30" s="1714"/>
    </row>
    <row r="31" spans="2:16" ht="14.25" customHeight="1">
      <c r="B31" s="139"/>
      <c r="C31" s="140" t="s">
        <v>520</v>
      </c>
      <c r="D31" s="141"/>
      <c r="E31" s="1714"/>
      <c r="F31" s="142"/>
      <c r="L31" s="1714"/>
    </row>
    <row r="32" spans="2:16" s="52" customFormat="1" ht="14.25" customHeight="1">
      <c r="B32" s="143">
        <v>1</v>
      </c>
      <c r="C32" s="144" t="s">
        <v>89</v>
      </c>
      <c r="D32" s="145" t="s">
        <v>2</v>
      </c>
      <c r="E32" s="1718">
        <v>150</v>
      </c>
      <c r="F32" s="138"/>
      <c r="G32" s="377"/>
      <c r="L32" s="1718">
        <v>150</v>
      </c>
    </row>
    <row r="33" spans="2:12" ht="14.25" customHeight="1">
      <c r="B33" s="143"/>
      <c r="C33" s="146"/>
      <c r="D33" s="129" t="s">
        <v>337</v>
      </c>
      <c r="E33" s="1718"/>
      <c r="F33" s="138"/>
      <c r="L33" s="1718"/>
    </row>
    <row r="34" spans="2:12" ht="14.25" customHeight="1">
      <c r="B34" s="143"/>
      <c r="C34" s="140" t="s">
        <v>4</v>
      </c>
      <c r="D34" s="141"/>
      <c r="E34" s="1718"/>
      <c r="F34" s="142"/>
      <c r="L34" s="1718"/>
    </row>
    <row r="35" spans="2:12" s="5" customFormat="1" ht="14.25" customHeight="1">
      <c r="B35" s="143">
        <v>1</v>
      </c>
      <c r="C35" s="147" t="s">
        <v>124</v>
      </c>
      <c r="D35" s="148" t="s">
        <v>7</v>
      </c>
      <c r="E35" s="1718">
        <v>69000</v>
      </c>
      <c r="F35" s="149"/>
      <c r="G35" s="378"/>
      <c r="L35" s="1718">
        <v>69000</v>
      </c>
    </row>
    <row r="36" spans="2:12" s="5" customFormat="1" ht="14.25" customHeight="1">
      <c r="B36" s="143">
        <f>B35+1</f>
        <v>2</v>
      </c>
      <c r="C36" s="147" t="s">
        <v>125</v>
      </c>
      <c r="D36" s="148" t="s">
        <v>7</v>
      </c>
      <c r="E36" s="1718">
        <v>466200</v>
      </c>
      <c r="F36" s="149"/>
      <c r="G36" s="378"/>
      <c r="L36" s="1718">
        <v>466200</v>
      </c>
    </row>
    <row r="37" spans="2:12" s="5" customFormat="1" ht="14.25" customHeight="1">
      <c r="B37" s="143">
        <f t="shared" ref="B37:B62" si="0">B36+1</f>
        <v>3</v>
      </c>
      <c r="C37" s="147" t="s">
        <v>126</v>
      </c>
      <c r="D37" s="148" t="s">
        <v>20</v>
      </c>
      <c r="E37" s="1718">
        <v>12880</v>
      </c>
      <c r="F37" s="149"/>
      <c r="G37" s="378"/>
      <c r="L37" s="1718">
        <v>12880</v>
      </c>
    </row>
    <row r="38" spans="2:12" s="5" customFormat="1" ht="14.25" customHeight="1">
      <c r="B38" s="143">
        <f t="shared" si="0"/>
        <v>4</v>
      </c>
      <c r="C38" s="147" t="s">
        <v>127</v>
      </c>
      <c r="D38" s="148" t="s">
        <v>20</v>
      </c>
      <c r="E38" s="1718">
        <v>12580</v>
      </c>
      <c r="F38" s="149"/>
      <c r="G38" s="378"/>
      <c r="L38" s="1718">
        <v>12580</v>
      </c>
    </row>
    <row r="39" spans="2:12" s="5" customFormat="1" ht="14.25" customHeight="1">
      <c r="B39" s="143">
        <f t="shared" si="0"/>
        <v>5</v>
      </c>
      <c r="C39" s="147" t="s">
        <v>99</v>
      </c>
      <c r="D39" s="148" t="s">
        <v>20</v>
      </c>
      <c r="E39" s="1718">
        <v>3090</v>
      </c>
      <c r="F39" s="149"/>
      <c r="G39" s="378"/>
      <c r="L39" s="1718">
        <v>3090</v>
      </c>
    </row>
    <row r="40" spans="2:12" s="5" customFormat="1" ht="14.25" customHeight="1">
      <c r="B40" s="143">
        <f t="shared" si="0"/>
        <v>6</v>
      </c>
      <c r="C40" s="147" t="s">
        <v>100</v>
      </c>
      <c r="D40" s="148" t="s">
        <v>20</v>
      </c>
      <c r="E40" s="1718">
        <v>4595</v>
      </c>
      <c r="F40" s="149"/>
      <c r="G40" s="378"/>
      <c r="L40" s="1718">
        <v>4595</v>
      </c>
    </row>
    <row r="41" spans="2:12" s="5" customFormat="1" ht="14.25" customHeight="1">
      <c r="B41" s="143">
        <f t="shared" si="0"/>
        <v>7</v>
      </c>
      <c r="C41" s="147" t="s">
        <v>128</v>
      </c>
      <c r="D41" s="148" t="s">
        <v>7</v>
      </c>
      <c r="E41" s="1718">
        <v>8500</v>
      </c>
      <c r="F41" s="149"/>
      <c r="G41" s="378"/>
      <c r="L41" s="1718">
        <v>8500</v>
      </c>
    </row>
    <row r="42" spans="2:12" s="102" customFormat="1" ht="14.25" customHeight="1">
      <c r="B42" s="143">
        <f t="shared" si="0"/>
        <v>8</v>
      </c>
      <c r="C42" s="853" t="s">
        <v>101</v>
      </c>
      <c r="D42" s="148" t="s">
        <v>7</v>
      </c>
      <c r="E42" s="1718">
        <v>110</v>
      </c>
      <c r="F42" s="149"/>
      <c r="G42" s="379"/>
      <c r="L42" s="1718">
        <v>110</v>
      </c>
    </row>
    <row r="43" spans="2:12" s="102" customFormat="1" ht="14.25" customHeight="1">
      <c r="B43" s="143">
        <f t="shared" si="0"/>
        <v>9</v>
      </c>
      <c r="C43" s="854" t="s">
        <v>959</v>
      </c>
      <c r="D43" s="449" t="str">
        <f>D42</f>
        <v>bh</v>
      </c>
      <c r="E43" s="1719">
        <v>5000</v>
      </c>
      <c r="F43" s="450"/>
      <c r="G43" s="379"/>
      <c r="L43" s="1719">
        <v>5000</v>
      </c>
    </row>
    <row r="44" spans="2:12" s="102" customFormat="1" ht="14.25" customHeight="1">
      <c r="B44" s="143">
        <f t="shared" si="0"/>
        <v>10</v>
      </c>
      <c r="C44" s="902" t="s">
        <v>130</v>
      </c>
      <c r="D44" s="903" t="s">
        <v>7</v>
      </c>
      <c r="E44" s="1720">
        <v>250000</v>
      </c>
      <c r="F44" s="904"/>
      <c r="G44" s="379"/>
      <c r="L44" s="1718">
        <v>250000</v>
      </c>
    </row>
    <row r="45" spans="2:12" s="5" customFormat="1" ht="14.25" customHeight="1">
      <c r="B45" s="143">
        <f t="shared" si="0"/>
        <v>11</v>
      </c>
      <c r="C45" s="855" t="s">
        <v>245</v>
      </c>
      <c r="D45" s="148" t="s">
        <v>7</v>
      </c>
      <c r="E45" s="1718">
        <v>50000</v>
      </c>
      <c r="F45" s="149"/>
      <c r="G45" s="378"/>
      <c r="L45" s="1718">
        <v>50000</v>
      </c>
    </row>
    <row r="46" spans="2:12" s="102" customFormat="1" ht="14.25" customHeight="1">
      <c r="B46" s="143">
        <f t="shared" si="0"/>
        <v>12</v>
      </c>
      <c r="C46" s="905" t="s">
        <v>942</v>
      </c>
      <c r="D46" s="903" t="s">
        <v>7</v>
      </c>
      <c r="E46" s="1720">
        <v>75000</v>
      </c>
      <c r="F46" s="906"/>
      <c r="G46" s="379"/>
      <c r="L46" s="1718">
        <v>75000</v>
      </c>
    </row>
    <row r="47" spans="2:12" s="102" customFormat="1" ht="14.25" customHeight="1">
      <c r="B47" s="143">
        <f t="shared" si="0"/>
        <v>13</v>
      </c>
      <c r="C47" s="448" t="s">
        <v>640</v>
      </c>
      <c r="D47" s="406"/>
      <c r="E47" s="1719">
        <v>7000</v>
      </c>
      <c r="F47" s="407"/>
      <c r="G47" s="379"/>
      <c r="L47" s="1719">
        <v>7000</v>
      </c>
    </row>
    <row r="48" spans="2:12" ht="14.25" customHeight="1">
      <c r="B48" s="143">
        <f t="shared" si="0"/>
        <v>14</v>
      </c>
      <c r="C48" s="150" t="s">
        <v>170</v>
      </c>
      <c r="D48" s="148" t="s">
        <v>7</v>
      </c>
      <c r="E48" s="1718">
        <v>11250</v>
      </c>
      <c r="F48" s="149"/>
      <c r="L48" s="1718">
        <v>11250</v>
      </c>
    </row>
    <row r="49" spans="2:12" ht="14.25" customHeight="1">
      <c r="B49" s="143">
        <f t="shared" si="0"/>
        <v>15</v>
      </c>
      <c r="C49" s="150" t="s">
        <v>638</v>
      </c>
      <c r="D49" s="449" t="s">
        <v>7</v>
      </c>
      <c r="E49" s="1719">
        <v>1300</v>
      </c>
      <c r="F49" s="450"/>
      <c r="L49" s="1719">
        <v>1300</v>
      </c>
    </row>
    <row r="50" spans="2:12" ht="14.25" customHeight="1">
      <c r="B50" s="143">
        <f t="shared" si="0"/>
        <v>16</v>
      </c>
      <c r="C50" s="150" t="s">
        <v>171</v>
      </c>
      <c r="D50" s="141" t="s">
        <v>5</v>
      </c>
      <c r="E50" s="1718">
        <v>3500</v>
      </c>
      <c r="F50" s="142"/>
      <c r="L50" s="1718">
        <v>3500</v>
      </c>
    </row>
    <row r="51" spans="2:12" ht="14.25" customHeight="1">
      <c r="B51" s="143">
        <f t="shared" si="0"/>
        <v>17</v>
      </c>
      <c r="C51" s="150" t="s">
        <v>120</v>
      </c>
      <c r="D51" s="141" t="s">
        <v>20</v>
      </c>
      <c r="E51" s="1718">
        <v>11880</v>
      </c>
      <c r="F51" s="142"/>
      <c r="L51" s="1718">
        <v>11880</v>
      </c>
    </row>
    <row r="52" spans="2:12" s="52" customFormat="1" ht="14.25" customHeight="1">
      <c r="B52" s="143">
        <f t="shared" si="0"/>
        <v>18</v>
      </c>
      <c r="C52" s="150" t="s">
        <v>6</v>
      </c>
      <c r="D52" s="141" t="s">
        <v>20</v>
      </c>
      <c r="E52" s="1718">
        <v>17000</v>
      </c>
      <c r="F52" s="142"/>
      <c r="G52" s="377"/>
      <c r="L52" s="1718">
        <v>17000</v>
      </c>
    </row>
    <row r="53" spans="2:12" ht="14.25" customHeight="1">
      <c r="B53" s="143">
        <f t="shared" si="0"/>
        <v>19</v>
      </c>
      <c r="C53" s="150" t="s">
        <v>121</v>
      </c>
      <c r="D53" s="141" t="s">
        <v>20</v>
      </c>
      <c r="E53" s="1718">
        <v>17080</v>
      </c>
      <c r="F53" s="142"/>
      <c r="L53" s="1718">
        <v>17080</v>
      </c>
    </row>
    <row r="54" spans="2:12" s="20" customFormat="1" ht="15" customHeight="1">
      <c r="B54" s="143">
        <f t="shared" si="0"/>
        <v>20</v>
      </c>
      <c r="C54" s="150" t="s">
        <v>172</v>
      </c>
      <c r="D54" s="141" t="s">
        <v>5</v>
      </c>
      <c r="E54" s="1718">
        <v>1500</v>
      </c>
      <c r="F54" s="142"/>
      <c r="G54" s="380"/>
      <c r="L54" s="1718">
        <v>1500</v>
      </c>
    </row>
    <row r="55" spans="2:12" ht="15" customHeight="1">
      <c r="B55" s="143">
        <f t="shared" si="0"/>
        <v>21</v>
      </c>
      <c r="C55" s="150" t="s">
        <v>173</v>
      </c>
      <c r="D55" s="141" t="s">
        <v>7</v>
      </c>
      <c r="E55" s="1718">
        <v>46700</v>
      </c>
      <c r="F55" s="142"/>
      <c r="L55" s="1718">
        <v>46700</v>
      </c>
    </row>
    <row r="56" spans="2:12" ht="15" customHeight="1">
      <c r="B56" s="143">
        <f t="shared" si="0"/>
        <v>22</v>
      </c>
      <c r="C56" s="150" t="s">
        <v>177</v>
      </c>
      <c r="D56" s="141" t="s">
        <v>7</v>
      </c>
      <c r="E56" s="1718">
        <v>70000</v>
      </c>
      <c r="F56" s="142"/>
      <c r="L56" s="1718">
        <v>70000</v>
      </c>
    </row>
    <row r="57" spans="2:12" ht="15" customHeight="1">
      <c r="B57" s="143">
        <f t="shared" si="0"/>
        <v>23</v>
      </c>
      <c r="C57" s="150" t="s">
        <v>174</v>
      </c>
      <c r="D57" s="141" t="s">
        <v>7</v>
      </c>
      <c r="E57" s="1718">
        <v>87500</v>
      </c>
      <c r="F57" s="142"/>
      <c r="L57" s="1718">
        <v>87500</v>
      </c>
    </row>
    <row r="58" spans="2:12" ht="15" customHeight="1">
      <c r="B58" s="143">
        <f t="shared" si="0"/>
        <v>24</v>
      </c>
      <c r="C58" s="150" t="s">
        <v>175</v>
      </c>
      <c r="D58" s="141" t="s">
        <v>7</v>
      </c>
      <c r="E58" s="1718">
        <v>99100</v>
      </c>
      <c r="F58" s="142"/>
      <c r="L58" s="1718">
        <v>99100</v>
      </c>
    </row>
    <row r="59" spans="2:12" ht="15" customHeight="1">
      <c r="B59" s="143">
        <f t="shared" si="0"/>
        <v>25</v>
      </c>
      <c r="C59" s="150" t="s">
        <v>176</v>
      </c>
      <c r="D59" s="141" t="s">
        <v>7</v>
      </c>
      <c r="E59" s="1718">
        <v>128300</v>
      </c>
      <c r="F59" s="142"/>
      <c r="L59" s="1718">
        <v>128300</v>
      </c>
    </row>
    <row r="60" spans="2:12" ht="15" customHeight="1">
      <c r="B60" s="143">
        <f t="shared" si="0"/>
        <v>26</v>
      </c>
      <c r="C60" s="448" t="s">
        <v>641</v>
      </c>
      <c r="D60" s="406" t="str">
        <f>D59</f>
        <v>bh</v>
      </c>
      <c r="E60" s="1719">
        <v>300</v>
      </c>
      <c r="F60" s="407"/>
      <c r="L60" s="1719">
        <v>300</v>
      </c>
    </row>
    <row r="61" spans="2:12" s="51" customFormat="1" ht="15" customHeight="1">
      <c r="B61" s="143">
        <f t="shared" si="0"/>
        <v>27</v>
      </c>
      <c r="C61" s="150" t="s">
        <v>178</v>
      </c>
      <c r="D61" s="141" t="s">
        <v>20</v>
      </c>
      <c r="E61" s="1718">
        <v>5150</v>
      </c>
      <c r="F61" s="142"/>
      <c r="G61" s="381"/>
      <c r="L61" s="1718">
        <v>5150</v>
      </c>
    </row>
    <row r="62" spans="2:12" s="51" customFormat="1" ht="15" customHeight="1">
      <c r="B62" s="143">
        <f t="shared" si="0"/>
        <v>28</v>
      </c>
      <c r="C62" s="879" t="s">
        <v>179</v>
      </c>
      <c r="D62" s="876" t="s">
        <v>20</v>
      </c>
      <c r="E62" s="1721">
        <v>6000</v>
      </c>
      <c r="F62" s="877"/>
      <c r="G62" s="381"/>
      <c r="L62" s="1721">
        <v>6000</v>
      </c>
    </row>
    <row r="63" spans="2:12" s="51" customFormat="1" ht="15" customHeight="1">
      <c r="B63" s="880"/>
      <c r="C63" s="880"/>
      <c r="D63" s="880"/>
      <c r="E63" s="1722"/>
      <c r="F63" s="880"/>
      <c r="G63" s="381"/>
      <c r="L63" s="1722"/>
    </row>
    <row r="64" spans="2:12" ht="15" customHeight="1">
      <c r="B64" s="856">
        <f>B62+1</f>
        <v>29</v>
      </c>
      <c r="C64" s="235" t="s">
        <v>182</v>
      </c>
      <c r="D64" s="874" t="s">
        <v>7</v>
      </c>
      <c r="E64" s="1723">
        <v>13250</v>
      </c>
      <c r="F64" s="164"/>
      <c r="L64" s="1723">
        <v>13250</v>
      </c>
    </row>
    <row r="65" spans="2:12" ht="15" customHeight="1">
      <c r="B65" s="143">
        <f t="shared" ref="B65:B85" si="1">B64+1</f>
        <v>30</v>
      </c>
      <c r="C65" s="150" t="s">
        <v>180</v>
      </c>
      <c r="D65" s="141" t="s">
        <v>7</v>
      </c>
      <c r="E65" s="1718">
        <v>17750</v>
      </c>
      <c r="F65" s="142"/>
      <c r="L65" s="1718">
        <v>17750</v>
      </c>
    </row>
    <row r="66" spans="2:12" ht="15" customHeight="1">
      <c r="B66" s="143">
        <f t="shared" si="1"/>
        <v>31</v>
      </c>
      <c r="C66" s="150" t="s">
        <v>181</v>
      </c>
      <c r="D66" s="141" t="s">
        <v>7</v>
      </c>
      <c r="E66" s="1718">
        <v>25000</v>
      </c>
      <c r="F66" s="142"/>
      <c r="L66" s="1718">
        <v>25000</v>
      </c>
    </row>
    <row r="67" spans="2:12" s="51" customFormat="1" ht="15" customHeight="1">
      <c r="B67" s="143">
        <f t="shared" si="1"/>
        <v>32</v>
      </c>
      <c r="C67" s="150" t="s">
        <v>537</v>
      </c>
      <c r="D67" s="141" t="s">
        <v>7</v>
      </c>
      <c r="E67" s="1718">
        <v>7000</v>
      </c>
      <c r="F67" s="142"/>
      <c r="G67" s="381"/>
      <c r="L67" s="1718">
        <v>7000</v>
      </c>
    </row>
    <row r="68" spans="2:12" ht="15" customHeight="1">
      <c r="B68" s="143">
        <f t="shared" si="1"/>
        <v>33</v>
      </c>
      <c r="C68" s="150" t="s">
        <v>183</v>
      </c>
      <c r="D68" s="141" t="s">
        <v>7</v>
      </c>
      <c r="E68" s="1718">
        <v>3500</v>
      </c>
      <c r="F68" s="142"/>
      <c r="L68" s="1718">
        <v>3500</v>
      </c>
    </row>
    <row r="69" spans="2:12" ht="15" customHeight="1">
      <c r="B69" s="143">
        <f t="shared" si="1"/>
        <v>34</v>
      </c>
      <c r="C69" s="150" t="s">
        <v>261</v>
      </c>
      <c r="D69" s="141" t="s">
        <v>7</v>
      </c>
      <c r="E69" s="1718">
        <v>3000</v>
      </c>
      <c r="F69" s="142"/>
      <c r="L69" s="1718">
        <v>3000</v>
      </c>
    </row>
    <row r="70" spans="2:12" s="51" customFormat="1" ht="15" customHeight="1">
      <c r="B70" s="143">
        <f t="shared" si="1"/>
        <v>35</v>
      </c>
      <c r="C70" s="150" t="s">
        <v>184</v>
      </c>
      <c r="D70" s="141" t="s">
        <v>5</v>
      </c>
      <c r="E70" s="1718">
        <v>1500</v>
      </c>
      <c r="F70" s="142"/>
      <c r="G70" s="381"/>
      <c r="L70" s="1718">
        <v>1500</v>
      </c>
    </row>
    <row r="71" spans="2:12" ht="15" customHeight="1">
      <c r="B71" s="143">
        <f t="shared" si="1"/>
        <v>36</v>
      </c>
      <c r="C71" s="150" t="s">
        <v>185</v>
      </c>
      <c r="D71" s="141" t="s">
        <v>7</v>
      </c>
      <c r="E71" s="1718">
        <v>13750</v>
      </c>
      <c r="F71" s="142"/>
      <c r="L71" s="1718">
        <v>13750</v>
      </c>
    </row>
    <row r="72" spans="2:12" ht="15" customHeight="1">
      <c r="B72" s="143">
        <f t="shared" si="1"/>
        <v>37</v>
      </c>
      <c r="C72" s="150" t="s">
        <v>117</v>
      </c>
      <c r="D72" s="141" t="s">
        <v>8</v>
      </c>
      <c r="E72" s="1718">
        <v>90000</v>
      </c>
      <c r="F72" s="142"/>
      <c r="L72" s="1718">
        <v>90000</v>
      </c>
    </row>
    <row r="73" spans="2:12" ht="15" customHeight="1">
      <c r="B73" s="143">
        <f t="shared" si="1"/>
        <v>38</v>
      </c>
      <c r="C73" s="150" t="s">
        <v>139</v>
      </c>
      <c r="D73" s="141" t="s">
        <v>8</v>
      </c>
      <c r="E73" s="1718">
        <v>58300</v>
      </c>
      <c r="F73" s="142"/>
      <c r="L73" s="1718">
        <v>58300</v>
      </c>
    </row>
    <row r="74" spans="2:12" ht="15" customHeight="1">
      <c r="B74" s="143">
        <f t="shared" si="1"/>
        <v>39</v>
      </c>
      <c r="C74" s="150" t="s">
        <v>186</v>
      </c>
      <c r="D74" s="141" t="s">
        <v>20</v>
      </c>
      <c r="E74" s="1718">
        <v>79000</v>
      </c>
      <c r="F74" s="142"/>
      <c r="L74" s="1718">
        <v>79000</v>
      </c>
    </row>
    <row r="75" spans="2:12" ht="15" customHeight="1">
      <c r="B75" s="143">
        <f t="shared" si="1"/>
        <v>40</v>
      </c>
      <c r="C75" s="150" t="s">
        <v>246</v>
      </c>
      <c r="D75" s="141" t="s">
        <v>7</v>
      </c>
      <c r="E75" s="1718">
        <v>49000</v>
      </c>
      <c r="F75" s="142"/>
      <c r="L75" s="1718">
        <v>49000</v>
      </c>
    </row>
    <row r="76" spans="2:12" ht="15" customHeight="1">
      <c r="B76" s="143">
        <f t="shared" si="1"/>
        <v>41</v>
      </c>
      <c r="C76" s="838" t="s">
        <v>963</v>
      </c>
      <c r="D76" s="141" t="s">
        <v>7</v>
      </c>
      <c r="E76" s="1718">
        <v>120000</v>
      </c>
      <c r="F76" s="142" t="str">
        <f>F77</f>
        <v>Terpasang</v>
      </c>
      <c r="L76" s="1718">
        <f>100000*1.2</f>
        <v>120000</v>
      </c>
    </row>
    <row r="77" spans="2:12" s="51" customFormat="1" ht="15" customHeight="1">
      <c r="B77" s="143">
        <f t="shared" si="1"/>
        <v>42</v>
      </c>
      <c r="C77" s="150" t="s">
        <v>649</v>
      </c>
      <c r="D77" s="141" t="str">
        <f>D76</f>
        <v>bh</v>
      </c>
      <c r="E77" s="1718">
        <v>390000</v>
      </c>
      <c r="F77" s="142" t="s">
        <v>650</v>
      </c>
      <c r="G77" s="381"/>
      <c r="L77" s="1718">
        <v>390000</v>
      </c>
    </row>
    <row r="78" spans="2:12" s="51" customFormat="1" ht="27.75" customHeight="1">
      <c r="B78" s="143">
        <f t="shared" si="1"/>
        <v>43</v>
      </c>
      <c r="C78" s="151" t="s">
        <v>909</v>
      </c>
      <c r="D78" s="141" t="str">
        <f t="shared" ref="D78:D79" si="2">D77</f>
        <v>bh</v>
      </c>
      <c r="E78" s="1718">
        <v>115000</v>
      </c>
      <c r="F78" s="142"/>
      <c r="G78" s="381"/>
      <c r="L78" s="1718">
        <v>115000</v>
      </c>
    </row>
    <row r="79" spans="2:12" s="51" customFormat="1" ht="30" customHeight="1">
      <c r="B79" s="143">
        <f t="shared" si="1"/>
        <v>44</v>
      </c>
      <c r="C79" s="152" t="s">
        <v>645</v>
      </c>
      <c r="D79" s="141" t="str">
        <f t="shared" si="2"/>
        <v>bh</v>
      </c>
      <c r="E79" s="1718">
        <v>95000</v>
      </c>
      <c r="F79" s="142"/>
      <c r="G79" s="381"/>
      <c r="L79" s="1718">
        <v>95000</v>
      </c>
    </row>
    <row r="80" spans="2:12" s="51" customFormat="1" ht="24" customHeight="1">
      <c r="B80" s="753">
        <f>B79+1</f>
        <v>45</v>
      </c>
      <c r="C80" s="754" t="s">
        <v>1029</v>
      </c>
      <c r="D80" s="755" t="s">
        <v>7</v>
      </c>
      <c r="E80" s="1714">
        <v>250000</v>
      </c>
      <c r="F80" s="756" t="str">
        <f>F77</f>
        <v>Terpasang</v>
      </c>
      <c r="G80" s="381"/>
      <c r="L80" s="1714">
        <v>250000</v>
      </c>
    </row>
    <row r="81" spans="2:12" s="51" customFormat="1" ht="15" customHeight="1">
      <c r="B81" s="143">
        <f>B80+1</f>
        <v>46</v>
      </c>
      <c r="C81" s="150" t="s">
        <v>667</v>
      </c>
      <c r="D81" s="141" t="s">
        <v>7</v>
      </c>
      <c r="E81" s="1718">
        <v>27500</v>
      </c>
      <c r="F81" s="142"/>
      <c r="G81" s="381"/>
      <c r="L81" s="1718">
        <v>27500</v>
      </c>
    </row>
    <row r="82" spans="2:12" s="51" customFormat="1" ht="15" customHeight="1">
      <c r="B82" s="143">
        <f t="shared" si="1"/>
        <v>47</v>
      </c>
      <c r="C82" s="150" t="s">
        <v>668</v>
      </c>
      <c r="D82" s="141" t="s">
        <v>7</v>
      </c>
      <c r="E82" s="1718">
        <v>32500</v>
      </c>
      <c r="F82" s="142"/>
      <c r="G82" s="381"/>
      <c r="L82" s="1718">
        <v>32500</v>
      </c>
    </row>
    <row r="83" spans="2:12" s="51" customFormat="1" ht="15" customHeight="1">
      <c r="B83" s="143">
        <f t="shared" si="1"/>
        <v>48</v>
      </c>
      <c r="C83" s="150" t="s">
        <v>670</v>
      </c>
      <c r="D83" s="141" t="s">
        <v>7</v>
      </c>
      <c r="E83" s="1718">
        <v>35000</v>
      </c>
      <c r="F83" s="142"/>
      <c r="G83" s="381"/>
      <c r="L83" s="1718">
        <v>35000</v>
      </c>
    </row>
    <row r="84" spans="2:12" s="51" customFormat="1" ht="15" customHeight="1">
      <c r="B84" s="143">
        <f t="shared" si="1"/>
        <v>49</v>
      </c>
      <c r="C84" s="150" t="s">
        <v>671</v>
      </c>
      <c r="D84" s="141" t="s">
        <v>7</v>
      </c>
      <c r="E84" s="1718">
        <v>65000</v>
      </c>
      <c r="F84" s="142"/>
      <c r="G84" s="381"/>
      <c r="L84" s="1718">
        <v>65000</v>
      </c>
    </row>
    <row r="85" spans="2:12" s="51" customFormat="1" ht="15" customHeight="1">
      <c r="B85" s="143">
        <f t="shared" si="1"/>
        <v>50</v>
      </c>
      <c r="C85" s="150" t="s">
        <v>669</v>
      </c>
      <c r="D85" s="141" t="s">
        <v>7</v>
      </c>
      <c r="E85" s="1718">
        <v>65000</v>
      </c>
      <c r="F85" s="142"/>
      <c r="G85" s="381"/>
      <c r="L85" s="1718">
        <f>L84</f>
        <v>65000</v>
      </c>
    </row>
    <row r="86" spans="2:12" ht="11.25" customHeight="1">
      <c r="B86" s="143"/>
      <c r="C86" s="150"/>
      <c r="D86" s="141"/>
      <c r="E86" s="1718"/>
      <c r="F86" s="142"/>
      <c r="L86" s="1718"/>
    </row>
    <row r="87" spans="2:12" ht="15" customHeight="1">
      <c r="B87" s="143"/>
      <c r="C87" s="140" t="s">
        <v>129</v>
      </c>
      <c r="D87" s="141"/>
      <c r="E87" s="1718"/>
      <c r="F87" s="142"/>
      <c r="L87" s="1718"/>
    </row>
    <row r="88" spans="2:12" ht="15" customHeight="1">
      <c r="B88" s="143">
        <v>1</v>
      </c>
      <c r="C88" s="150" t="s">
        <v>9</v>
      </c>
      <c r="D88" s="148" t="s">
        <v>10</v>
      </c>
      <c r="E88" s="1718">
        <v>225000</v>
      </c>
      <c r="F88" s="149"/>
      <c r="L88" s="1718">
        <v>225000</v>
      </c>
    </row>
    <row r="89" spans="2:12" s="52" customFormat="1" ht="15" customHeight="1">
      <c r="B89" s="143">
        <f t="shared" ref="B89:B110" si="3">B88+1</f>
        <v>2</v>
      </c>
      <c r="C89" s="150" t="s">
        <v>348</v>
      </c>
      <c r="D89" s="148" t="s">
        <v>10</v>
      </c>
      <c r="E89" s="1724">
        <v>245000</v>
      </c>
      <c r="F89" s="149"/>
      <c r="G89" s="377"/>
      <c r="L89" s="1724">
        <v>245000</v>
      </c>
    </row>
    <row r="90" spans="2:12" ht="15" customHeight="1">
      <c r="B90" s="143">
        <f t="shared" si="3"/>
        <v>3</v>
      </c>
      <c r="C90" s="153" t="s">
        <v>534</v>
      </c>
      <c r="D90" s="154" t="s">
        <v>10</v>
      </c>
      <c r="E90" s="1718">
        <v>223000</v>
      </c>
      <c r="F90" s="149"/>
      <c r="L90" s="1718">
        <v>223000</v>
      </c>
    </row>
    <row r="91" spans="2:12" s="52" customFormat="1" ht="15" customHeight="1">
      <c r="B91" s="143">
        <f t="shared" si="3"/>
        <v>4</v>
      </c>
      <c r="C91" s="150" t="s">
        <v>11</v>
      </c>
      <c r="D91" s="141" t="s">
        <v>384</v>
      </c>
      <c r="E91" s="1718">
        <v>2800</v>
      </c>
      <c r="F91" s="142"/>
      <c r="G91" s="377">
        <v>2700</v>
      </c>
      <c r="L91" s="1718">
        <v>2800</v>
      </c>
    </row>
    <row r="92" spans="2:12" s="52" customFormat="1" ht="15" customHeight="1">
      <c r="B92" s="143">
        <f t="shared" si="3"/>
        <v>5</v>
      </c>
      <c r="C92" s="155" t="s">
        <v>187</v>
      </c>
      <c r="D92" s="141" t="s">
        <v>5</v>
      </c>
      <c r="E92" s="1718">
        <v>1375</v>
      </c>
      <c r="F92" s="142"/>
      <c r="G92" s="377"/>
      <c r="L92" s="1718">
        <v>1375</v>
      </c>
    </row>
    <row r="93" spans="2:12" s="52" customFormat="1" ht="15" customHeight="1">
      <c r="B93" s="143">
        <f t="shared" si="3"/>
        <v>6</v>
      </c>
      <c r="C93" s="155" t="s">
        <v>188</v>
      </c>
      <c r="D93" s="141" t="s">
        <v>5</v>
      </c>
      <c r="E93" s="1718">
        <v>2850</v>
      </c>
      <c r="F93" s="142"/>
      <c r="G93" s="377"/>
      <c r="L93" s="1718">
        <v>2850</v>
      </c>
    </row>
    <row r="94" spans="2:12" s="20" customFormat="1" ht="15" customHeight="1">
      <c r="B94" s="143">
        <f t="shared" si="3"/>
        <v>7</v>
      </c>
      <c r="C94" s="155" t="s">
        <v>189</v>
      </c>
      <c r="D94" s="141" t="s">
        <v>5</v>
      </c>
      <c r="E94" s="1718">
        <v>5000</v>
      </c>
      <c r="F94" s="142"/>
      <c r="G94" s="380"/>
      <c r="L94" s="1718">
        <v>5000</v>
      </c>
    </row>
    <row r="95" spans="2:12" s="52" customFormat="1" ht="15" customHeight="1">
      <c r="B95" s="143">
        <f t="shared" si="3"/>
        <v>8</v>
      </c>
      <c r="C95" s="155" t="s">
        <v>190</v>
      </c>
      <c r="D95" s="141" t="s">
        <v>7</v>
      </c>
      <c r="E95" s="1718">
        <v>4000</v>
      </c>
      <c r="F95" s="142"/>
      <c r="G95" s="377"/>
      <c r="L95" s="1718">
        <v>4000</v>
      </c>
    </row>
    <row r="96" spans="2:12" ht="15" customHeight="1">
      <c r="B96" s="143">
        <f t="shared" si="3"/>
        <v>9</v>
      </c>
      <c r="C96" s="155" t="s">
        <v>140</v>
      </c>
      <c r="D96" s="141" t="s">
        <v>7</v>
      </c>
      <c r="E96" s="1718">
        <v>51800</v>
      </c>
      <c r="F96" s="142"/>
      <c r="L96" s="1718">
        <v>51800</v>
      </c>
    </row>
    <row r="97" spans="2:12" s="20" customFormat="1" ht="15" customHeight="1">
      <c r="B97" s="143">
        <f t="shared" si="3"/>
        <v>10</v>
      </c>
      <c r="C97" s="155" t="s">
        <v>141</v>
      </c>
      <c r="D97" s="141" t="s">
        <v>7</v>
      </c>
      <c r="E97" s="1718">
        <v>16700</v>
      </c>
      <c r="F97" s="142"/>
      <c r="G97" s="380"/>
      <c r="L97" s="1718">
        <v>16700</v>
      </c>
    </row>
    <row r="98" spans="2:12" s="20" customFormat="1" ht="15" customHeight="1">
      <c r="B98" s="143">
        <f t="shared" si="3"/>
        <v>11</v>
      </c>
      <c r="C98" s="155" t="s">
        <v>147</v>
      </c>
      <c r="D98" s="141" t="s">
        <v>291</v>
      </c>
      <c r="E98" s="1718">
        <v>9000</v>
      </c>
      <c r="F98" s="142"/>
      <c r="G98" s="380"/>
      <c r="L98" s="1718">
        <v>9000</v>
      </c>
    </row>
    <row r="99" spans="2:12" s="20" customFormat="1" ht="15" customHeight="1">
      <c r="B99" s="143">
        <f t="shared" si="3"/>
        <v>12</v>
      </c>
      <c r="C99" s="155" t="s">
        <v>148</v>
      </c>
      <c r="D99" s="141" t="s">
        <v>291</v>
      </c>
      <c r="E99" s="1718">
        <v>15000</v>
      </c>
      <c r="F99" s="142"/>
      <c r="G99" s="380"/>
      <c r="L99" s="1718">
        <v>15000</v>
      </c>
    </row>
    <row r="100" spans="2:12" ht="15" customHeight="1">
      <c r="B100" s="143">
        <f t="shared" si="3"/>
        <v>13</v>
      </c>
      <c r="C100" s="150" t="s">
        <v>191</v>
      </c>
      <c r="D100" s="141" t="s">
        <v>13</v>
      </c>
      <c r="E100" s="1718">
        <v>35000</v>
      </c>
      <c r="F100" s="142"/>
      <c r="L100" s="1718">
        <v>35000</v>
      </c>
    </row>
    <row r="101" spans="2:12" s="52" customFormat="1" ht="15" customHeight="1">
      <c r="B101" s="143">
        <f t="shared" si="3"/>
        <v>14</v>
      </c>
      <c r="C101" s="150" t="s">
        <v>334</v>
      </c>
      <c r="D101" s="148" t="s">
        <v>270</v>
      </c>
      <c r="E101" s="1718">
        <v>275000</v>
      </c>
      <c r="F101" s="149"/>
      <c r="G101" s="377"/>
      <c r="L101" s="1718">
        <v>275000</v>
      </c>
    </row>
    <row r="102" spans="2:12" s="52" customFormat="1" ht="15" customHeight="1">
      <c r="B102" s="143">
        <f t="shared" si="3"/>
        <v>15</v>
      </c>
      <c r="C102" s="150" t="s">
        <v>335</v>
      </c>
      <c r="D102" s="148" t="s">
        <v>268</v>
      </c>
      <c r="E102" s="1718">
        <v>152.77777777777777</v>
      </c>
      <c r="F102" s="149"/>
      <c r="G102" s="377"/>
      <c r="L102" s="1718">
        <v>152.77777777777777</v>
      </c>
    </row>
    <row r="103" spans="2:12" ht="15" customHeight="1">
      <c r="B103" s="143">
        <f t="shared" si="3"/>
        <v>16</v>
      </c>
      <c r="C103" s="155" t="s">
        <v>15</v>
      </c>
      <c r="D103" s="148" t="s">
        <v>13</v>
      </c>
      <c r="E103" s="1718">
        <v>13600</v>
      </c>
      <c r="F103" s="149"/>
      <c r="L103" s="1718">
        <v>13600</v>
      </c>
    </row>
    <row r="104" spans="2:12" s="20" customFormat="1" ht="15" customHeight="1">
      <c r="B104" s="143">
        <f t="shared" si="3"/>
        <v>17</v>
      </c>
      <c r="C104" s="155" t="s">
        <v>336</v>
      </c>
      <c r="D104" s="148" t="s">
        <v>270</v>
      </c>
      <c r="E104" s="1725">
        <v>395000</v>
      </c>
      <c r="F104" s="149"/>
      <c r="G104" s="380"/>
      <c r="L104" s="1725">
        <v>395000</v>
      </c>
    </row>
    <row r="105" spans="2:12" ht="15" customHeight="1">
      <c r="B105" s="143">
        <f t="shared" si="3"/>
        <v>18</v>
      </c>
      <c r="C105" s="155" t="s">
        <v>332</v>
      </c>
      <c r="D105" s="148" t="s">
        <v>268</v>
      </c>
      <c r="E105" s="1726">
        <v>282.14285714285717</v>
      </c>
      <c r="F105" s="149"/>
      <c r="L105" s="1726">
        <v>282.14285714285717</v>
      </c>
    </row>
    <row r="106" spans="2:12" s="52" customFormat="1" ht="15" customHeight="1">
      <c r="B106" s="143">
        <f t="shared" si="3"/>
        <v>19</v>
      </c>
      <c r="C106" s="155" t="s">
        <v>16</v>
      </c>
      <c r="D106" s="148" t="s">
        <v>10</v>
      </c>
      <c r="E106" s="1727">
        <v>270000</v>
      </c>
      <c r="F106" s="149"/>
      <c r="G106" s="377">
        <v>225000</v>
      </c>
      <c r="L106" s="1727">
        <v>270000</v>
      </c>
    </row>
    <row r="107" spans="2:12" s="52" customFormat="1" ht="15" customHeight="1">
      <c r="B107" s="143">
        <f t="shared" si="3"/>
        <v>20</v>
      </c>
      <c r="C107" s="155" t="s">
        <v>192</v>
      </c>
      <c r="D107" s="141" t="s">
        <v>10</v>
      </c>
      <c r="E107" s="1718">
        <v>206250</v>
      </c>
      <c r="F107" s="142"/>
      <c r="G107" s="377"/>
      <c r="L107" s="1718">
        <v>206250</v>
      </c>
    </row>
    <row r="108" spans="2:12" s="52" customFormat="1" ht="15" customHeight="1">
      <c r="B108" s="886">
        <f t="shared" si="3"/>
        <v>21</v>
      </c>
      <c r="C108" s="155" t="s">
        <v>17</v>
      </c>
      <c r="D108" s="887" t="s">
        <v>10</v>
      </c>
      <c r="E108" s="1728">
        <v>93750</v>
      </c>
      <c r="F108" s="888"/>
      <c r="G108" s="377"/>
      <c r="L108" s="1728">
        <v>93750</v>
      </c>
    </row>
    <row r="109" spans="2:12" ht="14.25" customHeight="1">
      <c r="B109" s="889">
        <f t="shared" si="3"/>
        <v>22</v>
      </c>
      <c r="C109" s="155" t="s">
        <v>875</v>
      </c>
      <c r="D109" s="890" t="s">
        <v>874</v>
      </c>
      <c r="E109" s="1729">
        <v>55000</v>
      </c>
      <c r="F109" s="891"/>
      <c r="L109" s="1729">
        <v>55000</v>
      </c>
    </row>
    <row r="110" spans="2:12" ht="14.25" customHeight="1">
      <c r="B110" s="889">
        <f t="shared" si="3"/>
        <v>23</v>
      </c>
      <c r="C110" s="155" t="s">
        <v>880</v>
      </c>
      <c r="D110" s="890" t="s">
        <v>12</v>
      </c>
      <c r="E110" s="1729">
        <v>130000</v>
      </c>
      <c r="F110" s="891"/>
      <c r="L110" s="1729">
        <v>130000</v>
      </c>
    </row>
    <row r="111" spans="2:12" ht="14.25" customHeight="1">
      <c r="B111" s="889">
        <v>24</v>
      </c>
      <c r="C111" s="155" t="s">
        <v>1036</v>
      </c>
      <c r="D111" s="890" t="s">
        <v>1037</v>
      </c>
      <c r="E111" s="1730">
        <v>68000</v>
      </c>
      <c r="F111" s="891"/>
      <c r="L111" s="1782">
        <v>68000</v>
      </c>
    </row>
    <row r="112" spans="2:12" ht="9.75" customHeight="1">
      <c r="B112" s="883"/>
      <c r="C112" s="878"/>
      <c r="D112" s="884"/>
      <c r="E112" s="1731"/>
      <c r="F112" s="885"/>
      <c r="L112" s="1731"/>
    </row>
    <row r="113" spans="2:12" ht="15" customHeight="1">
      <c r="B113" s="856"/>
      <c r="C113" s="875" t="s">
        <v>19</v>
      </c>
      <c r="D113" s="874"/>
      <c r="E113" s="1723"/>
      <c r="F113" s="164"/>
      <c r="L113" s="1723"/>
    </row>
    <row r="114" spans="2:12" ht="15" customHeight="1">
      <c r="B114" s="143">
        <v>1</v>
      </c>
      <c r="C114" s="150" t="s">
        <v>387</v>
      </c>
      <c r="D114" s="141" t="s">
        <v>268</v>
      </c>
      <c r="E114" s="1718">
        <v>12968</v>
      </c>
      <c r="F114" s="142"/>
      <c r="L114" s="1718">
        <v>12968</v>
      </c>
    </row>
    <row r="115" spans="2:12" ht="15" customHeight="1">
      <c r="B115" s="143">
        <f>B114+1</f>
        <v>2</v>
      </c>
      <c r="C115" s="150" t="s">
        <v>193</v>
      </c>
      <c r="D115" s="141" t="s">
        <v>14</v>
      </c>
      <c r="E115" s="1718">
        <v>14600</v>
      </c>
      <c r="F115" s="142"/>
      <c r="L115" s="1718">
        <v>14600</v>
      </c>
    </row>
    <row r="116" spans="2:12" s="52" customFormat="1" ht="15" customHeight="1">
      <c r="B116" s="143">
        <f t="shared" ref="B116:B137" si="4">B115+1</f>
        <v>3</v>
      </c>
      <c r="C116" s="150" t="s">
        <v>194</v>
      </c>
      <c r="D116" s="141" t="s">
        <v>20</v>
      </c>
      <c r="E116" s="1718">
        <v>15500</v>
      </c>
      <c r="F116" s="142"/>
      <c r="G116" s="377"/>
      <c r="L116" s="1718">
        <v>15500</v>
      </c>
    </row>
    <row r="117" spans="2:12" s="52" customFormat="1" ht="15" customHeight="1">
      <c r="B117" s="143">
        <f t="shared" si="4"/>
        <v>4</v>
      </c>
      <c r="C117" s="159" t="s">
        <v>195</v>
      </c>
      <c r="D117" s="160" t="s">
        <v>14</v>
      </c>
      <c r="E117" s="1718">
        <v>14000</v>
      </c>
      <c r="F117" s="161"/>
      <c r="G117" s="377"/>
      <c r="L117" s="1718">
        <v>14000</v>
      </c>
    </row>
    <row r="118" spans="2:12" s="52" customFormat="1" ht="15" customHeight="1">
      <c r="B118" s="143">
        <f t="shared" si="4"/>
        <v>5</v>
      </c>
      <c r="C118" s="159" t="s">
        <v>324</v>
      </c>
      <c r="D118" s="160" t="s">
        <v>14</v>
      </c>
      <c r="E118" s="1718">
        <v>9223.2451093210584</v>
      </c>
      <c r="F118" s="161"/>
      <c r="G118" s="377"/>
      <c r="L118" s="1718">
        <v>9223.2451093210584</v>
      </c>
    </row>
    <row r="119" spans="2:12" ht="15" customHeight="1">
      <c r="B119" s="143">
        <f t="shared" si="4"/>
        <v>6</v>
      </c>
      <c r="C119" s="155" t="s">
        <v>196</v>
      </c>
      <c r="D119" s="141" t="s">
        <v>14</v>
      </c>
      <c r="E119" s="1718">
        <v>19600</v>
      </c>
      <c r="F119" s="142"/>
      <c r="L119" s="1718">
        <v>19600</v>
      </c>
    </row>
    <row r="120" spans="2:12" ht="15" customHeight="1">
      <c r="B120" s="143">
        <f t="shared" si="4"/>
        <v>7</v>
      </c>
      <c r="C120" s="155" t="s">
        <v>197</v>
      </c>
      <c r="D120" s="162" t="s">
        <v>20</v>
      </c>
      <c r="E120" s="1718">
        <v>49000</v>
      </c>
      <c r="F120" s="163"/>
      <c r="L120" s="1718">
        <v>49000</v>
      </c>
    </row>
    <row r="121" spans="2:12" ht="15" customHeight="1">
      <c r="B121" s="143">
        <f t="shared" si="4"/>
        <v>8</v>
      </c>
      <c r="C121" s="155" t="s">
        <v>154</v>
      </c>
      <c r="D121" s="162" t="s">
        <v>14</v>
      </c>
      <c r="E121" s="1718">
        <v>43800</v>
      </c>
      <c r="F121" s="163"/>
      <c r="L121" s="1718">
        <v>43800</v>
      </c>
    </row>
    <row r="122" spans="2:12" ht="15" customHeight="1">
      <c r="B122" s="143">
        <f t="shared" si="4"/>
        <v>9</v>
      </c>
      <c r="C122" s="155" t="s">
        <v>198</v>
      </c>
      <c r="D122" s="162" t="s">
        <v>14</v>
      </c>
      <c r="E122" s="1718">
        <v>291400</v>
      </c>
      <c r="F122" s="163"/>
      <c r="L122" s="1718">
        <v>291400</v>
      </c>
    </row>
    <row r="123" spans="2:12" s="52" customFormat="1" ht="15" customHeight="1">
      <c r="B123" s="143">
        <f t="shared" si="4"/>
        <v>10</v>
      </c>
      <c r="C123" s="155" t="s">
        <v>153</v>
      </c>
      <c r="D123" s="141" t="s">
        <v>14</v>
      </c>
      <c r="E123" s="1718">
        <v>20000</v>
      </c>
      <c r="F123" s="142"/>
      <c r="G123" s="377"/>
      <c r="L123" s="1718">
        <v>20000</v>
      </c>
    </row>
    <row r="124" spans="2:12" s="52" customFormat="1" ht="15" customHeight="1">
      <c r="B124" s="143">
        <f t="shared" si="4"/>
        <v>11</v>
      </c>
      <c r="C124" s="155" t="s">
        <v>166</v>
      </c>
      <c r="D124" s="141" t="s">
        <v>231</v>
      </c>
      <c r="E124" s="1718">
        <v>120000</v>
      </c>
      <c r="F124" s="142"/>
      <c r="G124" s="377"/>
      <c r="L124" s="1718">
        <v>120000</v>
      </c>
    </row>
    <row r="125" spans="2:12" ht="15" customHeight="1">
      <c r="B125" s="143">
        <f t="shared" si="4"/>
        <v>12</v>
      </c>
      <c r="C125" s="155" t="s">
        <v>135</v>
      </c>
      <c r="D125" s="23" t="s">
        <v>231</v>
      </c>
      <c r="E125" s="1718">
        <v>44500</v>
      </c>
      <c r="F125" s="164"/>
      <c r="L125" s="1718">
        <v>44500</v>
      </c>
    </row>
    <row r="126" spans="2:12" s="51" customFormat="1" ht="15" customHeight="1">
      <c r="B126" s="143">
        <f t="shared" si="4"/>
        <v>13</v>
      </c>
      <c r="C126" s="155" t="s">
        <v>156</v>
      </c>
      <c r="D126" s="141" t="s">
        <v>20</v>
      </c>
      <c r="E126" s="1718">
        <v>206000</v>
      </c>
      <c r="F126" s="142"/>
      <c r="G126" s="381"/>
      <c r="L126" s="1718">
        <v>206000</v>
      </c>
    </row>
    <row r="127" spans="2:12" ht="15" customHeight="1">
      <c r="B127" s="143">
        <f t="shared" si="4"/>
        <v>14</v>
      </c>
      <c r="C127" s="155" t="s">
        <v>157</v>
      </c>
      <c r="D127" s="141" t="s">
        <v>20</v>
      </c>
      <c r="E127" s="1718">
        <v>145000</v>
      </c>
      <c r="F127" s="142"/>
      <c r="L127" s="1718">
        <v>145000</v>
      </c>
    </row>
    <row r="128" spans="2:12" ht="15" customHeight="1">
      <c r="B128" s="143">
        <f t="shared" si="4"/>
        <v>15</v>
      </c>
      <c r="C128" s="155" t="s">
        <v>161</v>
      </c>
      <c r="D128" s="141" t="s">
        <v>20</v>
      </c>
      <c r="E128" s="1718">
        <v>110000</v>
      </c>
      <c r="F128" s="142"/>
      <c r="L128" s="1718">
        <v>110000</v>
      </c>
    </row>
    <row r="129" spans="2:12" ht="15" customHeight="1">
      <c r="B129" s="143">
        <f t="shared" si="4"/>
        <v>16</v>
      </c>
      <c r="C129" s="155" t="s">
        <v>162</v>
      </c>
      <c r="D129" s="141" t="s">
        <v>20</v>
      </c>
      <c r="E129" s="1718">
        <v>90000</v>
      </c>
      <c r="F129" s="142"/>
      <c r="L129" s="1718">
        <v>90000</v>
      </c>
    </row>
    <row r="130" spans="2:12" s="51" customFormat="1" ht="15" customHeight="1">
      <c r="B130" s="143">
        <f t="shared" si="4"/>
        <v>17</v>
      </c>
      <c r="C130" s="155" t="s">
        <v>603</v>
      </c>
      <c r="D130" s="116" t="s">
        <v>168</v>
      </c>
      <c r="E130" s="1732">
        <v>65000</v>
      </c>
      <c r="F130" s="165"/>
      <c r="G130" s="381"/>
      <c r="L130" s="1732">
        <v>65000</v>
      </c>
    </row>
    <row r="131" spans="2:12" ht="15" customHeight="1">
      <c r="B131" s="143">
        <f t="shared" si="4"/>
        <v>18</v>
      </c>
      <c r="C131" s="155" t="s">
        <v>163</v>
      </c>
      <c r="D131" s="167" t="s">
        <v>20</v>
      </c>
      <c r="E131" s="1733">
        <v>33000</v>
      </c>
      <c r="F131" s="168"/>
      <c r="L131" s="1733">
        <v>33000</v>
      </c>
    </row>
    <row r="132" spans="2:12" s="20" customFormat="1" ht="15" customHeight="1">
      <c r="B132" s="143">
        <f t="shared" si="4"/>
        <v>19</v>
      </c>
      <c r="C132" s="155" t="s">
        <v>378</v>
      </c>
      <c r="D132" s="167" t="s">
        <v>379</v>
      </c>
      <c r="E132" s="1733">
        <v>23600</v>
      </c>
      <c r="F132" s="168"/>
      <c r="G132" s="380"/>
      <c r="L132" s="1733">
        <v>23600</v>
      </c>
    </row>
    <row r="133" spans="2:12" s="20" customFormat="1" ht="15" customHeight="1">
      <c r="B133" s="143">
        <f t="shared" si="4"/>
        <v>20</v>
      </c>
      <c r="C133" s="155" t="s">
        <v>729</v>
      </c>
      <c r="D133" s="233"/>
      <c r="E133" s="1734"/>
      <c r="F133" s="237"/>
      <c r="G133" s="380"/>
      <c r="L133" s="1734"/>
    </row>
    <row r="134" spans="2:12" s="20" customFormat="1" ht="15" customHeight="1">
      <c r="B134" s="143">
        <f>B133+1</f>
        <v>21</v>
      </c>
      <c r="C134" s="155" t="s">
        <v>728</v>
      </c>
      <c r="D134" s="234" t="s">
        <v>12</v>
      </c>
      <c r="E134" s="1735">
        <v>598500</v>
      </c>
      <c r="F134" s="238" t="s">
        <v>650</v>
      </c>
      <c r="G134" s="380"/>
      <c r="L134" s="1735">
        <v>598500</v>
      </c>
    </row>
    <row r="135" spans="2:12" s="20" customFormat="1" ht="15" customHeight="1">
      <c r="B135" s="143">
        <f t="shared" si="4"/>
        <v>22</v>
      </c>
      <c r="C135" s="155" t="s">
        <v>730</v>
      </c>
      <c r="D135" s="236"/>
      <c r="E135" s="1723"/>
      <c r="F135" s="239"/>
      <c r="G135" s="380"/>
      <c r="L135" s="1723"/>
    </row>
    <row r="136" spans="2:12" s="20" customFormat="1" ht="15" customHeight="1">
      <c r="B136" s="143">
        <f>B135+1</f>
        <v>23</v>
      </c>
      <c r="C136" s="1775" t="s">
        <v>555</v>
      </c>
      <c r="D136" s="1363" t="s">
        <v>291</v>
      </c>
      <c r="E136" s="1723">
        <v>600</v>
      </c>
      <c r="F136" s="239"/>
      <c r="G136" s="380"/>
      <c r="L136" s="1783">
        <v>600</v>
      </c>
    </row>
    <row r="137" spans="2:12" s="20" customFormat="1" ht="15" customHeight="1">
      <c r="B137" s="143">
        <f t="shared" si="4"/>
        <v>24</v>
      </c>
      <c r="C137" s="1775" t="s">
        <v>556</v>
      </c>
      <c r="D137" s="1363" t="s">
        <v>509</v>
      </c>
      <c r="E137" s="1723">
        <v>36000</v>
      </c>
      <c r="F137" s="239"/>
      <c r="G137" s="380"/>
      <c r="L137" s="1783">
        <v>36000</v>
      </c>
    </row>
    <row r="138" spans="2:12" ht="11.25" customHeight="1">
      <c r="B138" s="143"/>
      <c r="C138" s="166"/>
      <c r="D138" s="169"/>
      <c r="E138" s="1733"/>
      <c r="F138" s="170"/>
      <c r="L138" s="1733"/>
    </row>
    <row r="139" spans="2:12" ht="15" customHeight="1">
      <c r="B139" s="117">
        <v>1</v>
      </c>
      <c r="C139" s="171" t="s">
        <v>22</v>
      </c>
      <c r="D139" s="169"/>
      <c r="E139" s="1733"/>
      <c r="F139" s="170"/>
      <c r="L139" s="1733"/>
    </row>
    <row r="140" spans="2:12" s="51" customFormat="1" ht="15" customHeight="1">
      <c r="B140" s="117">
        <f>B139+1</f>
        <v>2</v>
      </c>
      <c r="C140" s="172" t="s">
        <v>199</v>
      </c>
      <c r="D140" s="173" t="s">
        <v>329</v>
      </c>
      <c r="E140" s="1733">
        <v>10000</v>
      </c>
      <c r="F140" s="174"/>
      <c r="G140" s="381"/>
      <c r="L140" s="1733">
        <v>10000</v>
      </c>
    </row>
    <row r="141" spans="2:12" ht="15" customHeight="1">
      <c r="B141" s="117">
        <f t="shared" ref="B141:B174" si="5">B140+1</f>
        <v>3</v>
      </c>
      <c r="C141" s="172" t="s">
        <v>104</v>
      </c>
      <c r="D141" s="173" t="s">
        <v>14</v>
      </c>
      <c r="E141" s="1733">
        <v>83000</v>
      </c>
      <c r="F141" s="174"/>
      <c r="L141" s="1733">
        <v>83000</v>
      </c>
    </row>
    <row r="142" spans="2:12" s="51" customFormat="1" ht="15" customHeight="1">
      <c r="B142" s="44">
        <f t="shared" si="5"/>
        <v>4</v>
      </c>
      <c r="C142" s="175" t="s">
        <v>200</v>
      </c>
      <c r="D142" s="176" t="s">
        <v>268</v>
      </c>
      <c r="E142" s="1736">
        <v>74000</v>
      </c>
      <c r="F142" s="177"/>
      <c r="G142" s="381"/>
      <c r="L142" s="1736">
        <v>74000</v>
      </c>
    </row>
    <row r="143" spans="2:12" ht="15" customHeight="1">
      <c r="B143" s="44">
        <f t="shared" si="5"/>
        <v>5</v>
      </c>
      <c r="C143" s="178" t="s">
        <v>201</v>
      </c>
      <c r="D143" s="179" t="s">
        <v>14</v>
      </c>
      <c r="E143" s="1737">
        <v>84000</v>
      </c>
      <c r="F143" s="180"/>
      <c r="L143" s="1737">
        <v>84000</v>
      </c>
    </row>
    <row r="144" spans="2:12" ht="15" customHeight="1">
      <c r="B144" s="44">
        <f t="shared" si="5"/>
        <v>6</v>
      </c>
      <c r="C144" s="178" t="s">
        <v>202</v>
      </c>
      <c r="D144" s="179" t="s">
        <v>14</v>
      </c>
      <c r="E144" s="1737">
        <v>108500</v>
      </c>
      <c r="F144" s="180"/>
      <c r="L144" s="1737">
        <v>108500</v>
      </c>
    </row>
    <row r="145" spans="2:12" ht="15" customHeight="1">
      <c r="B145" s="44">
        <f t="shared" si="5"/>
        <v>7</v>
      </c>
      <c r="C145" s="178" t="s">
        <v>203</v>
      </c>
      <c r="D145" s="179" t="s">
        <v>14</v>
      </c>
      <c r="E145" s="1737">
        <v>32000</v>
      </c>
      <c r="F145" s="180"/>
      <c r="L145" s="1737">
        <v>32000</v>
      </c>
    </row>
    <row r="146" spans="2:12" ht="15" customHeight="1">
      <c r="B146" s="44">
        <f t="shared" si="5"/>
        <v>8</v>
      </c>
      <c r="C146" s="178" t="s">
        <v>204</v>
      </c>
      <c r="D146" s="179" t="s">
        <v>14</v>
      </c>
      <c r="E146" s="1737">
        <v>25000</v>
      </c>
      <c r="F146" s="180"/>
      <c r="L146" s="1737">
        <v>25000</v>
      </c>
    </row>
    <row r="147" spans="2:12" s="51" customFormat="1" ht="15" customHeight="1">
      <c r="B147" s="44">
        <f t="shared" si="5"/>
        <v>9</v>
      </c>
      <c r="C147" s="181" t="s">
        <v>363</v>
      </c>
      <c r="D147" s="182" t="s">
        <v>268</v>
      </c>
      <c r="E147" s="1738">
        <v>48000</v>
      </c>
      <c r="F147" s="183"/>
      <c r="G147" s="381"/>
      <c r="L147" s="1738">
        <v>48000</v>
      </c>
    </row>
    <row r="148" spans="2:12" ht="15" customHeight="1">
      <c r="B148" s="44">
        <f t="shared" si="5"/>
        <v>10</v>
      </c>
      <c r="C148" s="185" t="s">
        <v>205</v>
      </c>
      <c r="D148" s="186" t="s">
        <v>268</v>
      </c>
      <c r="E148" s="1739">
        <v>68000</v>
      </c>
      <c r="F148" s="187"/>
      <c r="L148" s="1739">
        <v>68000</v>
      </c>
    </row>
    <row r="149" spans="2:12" ht="15" customHeight="1">
      <c r="B149" s="44">
        <f t="shared" si="5"/>
        <v>11</v>
      </c>
      <c r="C149" s="185" t="s">
        <v>206</v>
      </c>
      <c r="D149" s="186" t="s">
        <v>268</v>
      </c>
      <c r="E149" s="1739">
        <v>55000</v>
      </c>
      <c r="F149" s="187"/>
      <c r="L149" s="1739">
        <v>55000</v>
      </c>
    </row>
    <row r="150" spans="2:12" ht="15" customHeight="1">
      <c r="B150" s="44">
        <f t="shared" si="5"/>
        <v>12</v>
      </c>
      <c r="C150" s="185" t="s">
        <v>208</v>
      </c>
      <c r="D150" s="186" t="s">
        <v>268</v>
      </c>
      <c r="E150" s="1739">
        <v>60000</v>
      </c>
      <c r="F150" s="187"/>
      <c r="L150" s="1739">
        <v>60000</v>
      </c>
    </row>
    <row r="151" spans="2:12" ht="15" customHeight="1">
      <c r="B151" s="44">
        <f t="shared" si="5"/>
        <v>13</v>
      </c>
      <c r="C151" s="185" t="s">
        <v>207</v>
      </c>
      <c r="D151" s="186" t="s">
        <v>268</v>
      </c>
      <c r="E151" s="1739">
        <v>35000</v>
      </c>
      <c r="F151" s="187"/>
      <c r="L151" s="1739">
        <v>35000</v>
      </c>
    </row>
    <row r="152" spans="2:12" ht="15" customHeight="1">
      <c r="B152" s="44">
        <f t="shared" si="5"/>
        <v>14</v>
      </c>
      <c r="C152" s="336" t="s">
        <v>209</v>
      </c>
      <c r="D152" s="337" t="s">
        <v>14</v>
      </c>
      <c r="E152" s="1740">
        <v>32500</v>
      </c>
      <c r="F152" s="338"/>
      <c r="L152" s="1740">
        <v>32500</v>
      </c>
    </row>
    <row r="153" spans="2:12" ht="15" customHeight="1">
      <c r="B153" s="44">
        <f t="shared" si="5"/>
        <v>15</v>
      </c>
      <c r="C153" s="185" t="s">
        <v>116</v>
      </c>
      <c r="D153" s="186" t="s">
        <v>14</v>
      </c>
      <c r="E153" s="1739">
        <v>18600</v>
      </c>
      <c r="F153" s="187"/>
      <c r="L153" s="1739">
        <v>18600</v>
      </c>
    </row>
    <row r="154" spans="2:12" s="52" customFormat="1" ht="15" customHeight="1">
      <c r="B154" s="44">
        <f t="shared" si="5"/>
        <v>16</v>
      </c>
      <c r="C154" s="185" t="s">
        <v>23</v>
      </c>
      <c r="D154" s="186" t="s">
        <v>7</v>
      </c>
      <c r="E154" s="1739">
        <v>10000</v>
      </c>
      <c r="F154" s="187"/>
      <c r="G154" s="377"/>
      <c r="L154" s="1739">
        <v>10000</v>
      </c>
    </row>
    <row r="155" spans="2:12" ht="15" customHeight="1">
      <c r="B155" s="44">
        <f t="shared" si="5"/>
        <v>17</v>
      </c>
      <c r="C155" s="185" t="s">
        <v>210</v>
      </c>
      <c r="D155" s="186" t="s">
        <v>102</v>
      </c>
      <c r="E155" s="1739">
        <v>171330</v>
      </c>
      <c r="F155" s="187"/>
      <c r="L155" s="1739">
        <v>171330</v>
      </c>
    </row>
    <row r="156" spans="2:12" s="51" customFormat="1" ht="15" customHeight="1">
      <c r="B156" s="44">
        <f t="shared" si="5"/>
        <v>18</v>
      </c>
      <c r="C156" s="185" t="s">
        <v>394</v>
      </c>
      <c r="D156" s="186" t="s">
        <v>268</v>
      </c>
      <c r="E156" s="1739">
        <v>36000</v>
      </c>
      <c r="F156" s="187"/>
      <c r="G156" s="381"/>
      <c r="L156" s="1739">
        <v>36000</v>
      </c>
    </row>
    <row r="157" spans="2:12" s="51" customFormat="1" ht="15" customHeight="1">
      <c r="B157" s="44">
        <f t="shared" si="5"/>
        <v>19</v>
      </c>
      <c r="C157" s="188" t="s">
        <v>581</v>
      </c>
      <c r="D157" s="189" t="s">
        <v>268</v>
      </c>
      <c r="E157" s="1741">
        <v>27000</v>
      </c>
      <c r="F157" s="177"/>
      <c r="G157" s="381"/>
      <c r="L157" s="1741">
        <v>27000</v>
      </c>
    </row>
    <row r="158" spans="2:12" s="51" customFormat="1" ht="15" customHeight="1">
      <c r="B158" s="44">
        <f t="shared" si="5"/>
        <v>20</v>
      </c>
      <c r="C158" s="188" t="s">
        <v>582</v>
      </c>
      <c r="D158" s="189" t="s">
        <v>268</v>
      </c>
      <c r="E158" s="1741">
        <v>16000</v>
      </c>
      <c r="F158" s="177"/>
      <c r="G158" s="381"/>
      <c r="L158" s="1741">
        <v>16000</v>
      </c>
    </row>
    <row r="159" spans="2:12" s="51" customFormat="1" ht="15" customHeight="1">
      <c r="B159" s="44">
        <f t="shared" si="5"/>
        <v>21</v>
      </c>
      <c r="C159" s="114" t="s">
        <v>95</v>
      </c>
      <c r="D159" s="115" t="s">
        <v>268</v>
      </c>
      <c r="E159" s="1742">
        <v>40000</v>
      </c>
      <c r="F159" s="190"/>
      <c r="G159" s="381"/>
      <c r="L159" s="1742">
        <v>40000</v>
      </c>
    </row>
    <row r="160" spans="2:12" ht="15" customHeight="1">
      <c r="B160" s="44">
        <f t="shared" si="5"/>
        <v>22</v>
      </c>
      <c r="C160" s="185" t="s">
        <v>211</v>
      </c>
      <c r="D160" s="186" t="s">
        <v>2</v>
      </c>
      <c r="E160" s="1739">
        <v>32000</v>
      </c>
      <c r="F160" s="187"/>
      <c r="L160" s="1739">
        <v>32000</v>
      </c>
    </row>
    <row r="161" spans="2:12" s="51" customFormat="1" ht="15" customHeight="1">
      <c r="B161" s="44">
        <f t="shared" si="5"/>
        <v>23</v>
      </c>
      <c r="C161" s="185" t="s">
        <v>105</v>
      </c>
      <c r="D161" s="186" t="s">
        <v>2</v>
      </c>
      <c r="E161" s="1739">
        <v>88000</v>
      </c>
      <c r="F161" s="187"/>
      <c r="G161" s="381"/>
      <c r="L161" s="1739">
        <v>88000</v>
      </c>
    </row>
    <row r="162" spans="2:12" s="52" customFormat="1" ht="15" customHeight="1">
      <c r="B162" s="44">
        <f t="shared" si="5"/>
        <v>24</v>
      </c>
      <c r="C162" s="156" t="s">
        <v>401</v>
      </c>
      <c r="D162" s="157" t="s">
        <v>296</v>
      </c>
      <c r="E162" s="1743">
        <v>85000</v>
      </c>
      <c r="F162" s="158"/>
      <c r="G162" s="377"/>
      <c r="L162" s="1743">
        <v>85000</v>
      </c>
    </row>
    <row r="163" spans="2:12" s="51" customFormat="1" ht="15" customHeight="1">
      <c r="B163" s="44">
        <f t="shared" si="5"/>
        <v>25</v>
      </c>
      <c r="C163" s="172" t="s">
        <v>212</v>
      </c>
      <c r="D163" s="173" t="s">
        <v>2</v>
      </c>
      <c r="E163" s="1733">
        <v>82000</v>
      </c>
      <c r="F163" s="187"/>
      <c r="G163" s="381"/>
      <c r="L163" s="1733">
        <v>82000</v>
      </c>
    </row>
    <row r="164" spans="2:12" s="51" customFormat="1" ht="15" customHeight="1">
      <c r="B164" s="44">
        <f t="shared" si="5"/>
        <v>26</v>
      </c>
      <c r="C164" s="172" t="s">
        <v>106</v>
      </c>
      <c r="D164" s="173" t="s">
        <v>2</v>
      </c>
      <c r="E164" s="1733">
        <v>94000</v>
      </c>
      <c r="F164" s="187"/>
      <c r="G164" s="381"/>
      <c r="L164" s="1733">
        <v>94000</v>
      </c>
    </row>
    <row r="165" spans="2:12" ht="15" customHeight="1">
      <c r="B165" s="44">
        <f t="shared" si="5"/>
        <v>27</v>
      </c>
      <c r="C165" s="172" t="s">
        <v>400</v>
      </c>
      <c r="D165" s="173" t="s">
        <v>296</v>
      </c>
      <c r="E165" s="1733">
        <v>94000</v>
      </c>
      <c r="F165" s="187"/>
      <c r="L165" s="1733">
        <v>94000</v>
      </c>
    </row>
    <row r="166" spans="2:12" s="20" customFormat="1" ht="15" customHeight="1">
      <c r="B166" s="44">
        <f t="shared" si="5"/>
        <v>28</v>
      </c>
      <c r="C166" s="166" t="s">
        <v>137</v>
      </c>
      <c r="D166" s="169" t="s">
        <v>14</v>
      </c>
      <c r="E166" s="1733">
        <v>75000</v>
      </c>
      <c r="F166" s="191"/>
      <c r="G166" s="380"/>
      <c r="L166" s="1733">
        <v>75000</v>
      </c>
    </row>
    <row r="167" spans="2:12" s="51" customFormat="1" ht="15" customHeight="1">
      <c r="B167" s="44">
        <f t="shared" si="5"/>
        <v>29</v>
      </c>
      <c r="C167" s="166" t="s">
        <v>107</v>
      </c>
      <c r="D167" s="169" t="s">
        <v>21</v>
      </c>
      <c r="E167" s="1733">
        <v>11000</v>
      </c>
      <c r="F167" s="191"/>
      <c r="G167" s="381"/>
      <c r="L167" s="1733">
        <v>11000</v>
      </c>
    </row>
    <row r="168" spans="2:12" ht="15" customHeight="1">
      <c r="B168" s="44">
        <f t="shared" si="5"/>
        <v>30</v>
      </c>
      <c r="C168" s="166" t="s">
        <v>24</v>
      </c>
      <c r="D168" s="192" t="s">
        <v>14</v>
      </c>
      <c r="E168" s="1733">
        <v>94000</v>
      </c>
      <c r="F168" s="193"/>
      <c r="L168" s="1733">
        <v>94000</v>
      </c>
    </row>
    <row r="169" spans="2:12" ht="15" customHeight="1">
      <c r="B169" s="44">
        <f t="shared" si="5"/>
        <v>31</v>
      </c>
      <c r="C169" s="194" t="s">
        <v>138</v>
      </c>
      <c r="D169" s="195" t="s">
        <v>14</v>
      </c>
      <c r="E169" s="1733">
        <v>90500</v>
      </c>
      <c r="F169" s="196"/>
      <c r="L169" s="1733">
        <v>90500</v>
      </c>
    </row>
    <row r="170" spans="2:12" ht="15" customHeight="1">
      <c r="B170" s="44">
        <f t="shared" si="5"/>
        <v>32</v>
      </c>
      <c r="C170" s="194" t="s">
        <v>89</v>
      </c>
      <c r="D170" s="195" t="s">
        <v>2</v>
      </c>
      <c r="E170" s="1733">
        <v>700</v>
      </c>
      <c r="F170" s="196"/>
      <c r="L170" s="1733">
        <v>700</v>
      </c>
    </row>
    <row r="171" spans="2:12" s="52" customFormat="1" ht="15" customHeight="1">
      <c r="B171" s="44">
        <f t="shared" si="5"/>
        <v>33</v>
      </c>
      <c r="C171" s="194" t="s">
        <v>152</v>
      </c>
      <c r="D171" s="195" t="s">
        <v>296</v>
      </c>
      <c r="E171" s="1733">
        <v>6800</v>
      </c>
      <c r="F171" s="196"/>
      <c r="G171" s="377"/>
      <c r="L171" s="1733">
        <v>6800</v>
      </c>
    </row>
    <row r="172" spans="2:12" s="20" customFormat="1" ht="15" customHeight="1">
      <c r="B172" s="44">
        <f t="shared" si="5"/>
        <v>34</v>
      </c>
      <c r="C172" s="194" t="s">
        <v>530</v>
      </c>
      <c r="D172" s="195" t="s">
        <v>14</v>
      </c>
      <c r="E172" s="1733">
        <v>95000</v>
      </c>
      <c r="F172" s="196"/>
      <c r="G172" s="380"/>
      <c r="L172" s="1733">
        <v>95000</v>
      </c>
    </row>
    <row r="173" spans="2:12" s="20" customFormat="1" ht="15" customHeight="1">
      <c r="B173" s="44">
        <f t="shared" si="5"/>
        <v>35</v>
      </c>
      <c r="C173" s="230" t="s">
        <v>726</v>
      </c>
      <c r="D173" s="231" t="str">
        <f>D172</f>
        <v>kg</v>
      </c>
      <c r="E173" s="1744">
        <v>66000</v>
      </c>
      <c r="F173" s="232"/>
      <c r="G173" s="380"/>
      <c r="L173" s="1744">
        <f>550000/10*1.2</f>
        <v>66000</v>
      </c>
    </row>
    <row r="174" spans="2:12" s="20" customFormat="1" ht="15" customHeight="1">
      <c r="B174" s="44">
        <f t="shared" si="5"/>
        <v>36</v>
      </c>
      <c r="C174" s="230" t="s">
        <v>722</v>
      </c>
      <c r="D174" s="231" t="str">
        <f>D173</f>
        <v>kg</v>
      </c>
      <c r="E174" s="1744">
        <v>68100</v>
      </c>
      <c r="F174" s="232"/>
      <c r="G174" s="380"/>
      <c r="L174" s="1744">
        <f>1135000/20*1.2</f>
        <v>68100</v>
      </c>
    </row>
    <row r="175" spans="2:12" ht="15" customHeight="1">
      <c r="B175" s="864"/>
      <c r="C175" s="866"/>
      <c r="D175" s="871"/>
      <c r="E175" s="1745"/>
      <c r="F175" s="872"/>
      <c r="L175" s="1745"/>
    </row>
    <row r="176" spans="2:12" ht="15" customHeight="1">
      <c r="B176" s="873"/>
      <c r="C176" s="858" t="s">
        <v>25</v>
      </c>
      <c r="D176" s="874"/>
      <c r="E176" s="1723"/>
      <c r="F176" s="164"/>
      <c r="L176" s="1723"/>
    </row>
    <row r="177" spans="2:12" ht="15" customHeight="1">
      <c r="B177" s="184">
        <v>1</v>
      </c>
      <c r="C177" s="172" t="s">
        <v>118</v>
      </c>
      <c r="D177" s="173" t="s">
        <v>20</v>
      </c>
      <c r="E177" s="1733">
        <v>25700</v>
      </c>
      <c r="F177" s="187"/>
      <c r="L177" s="1733">
        <v>25700</v>
      </c>
    </row>
    <row r="178" spans="2:12" ht="15" customHeight="1">
      <c r="B178" s="184">
        <f t="shared" ref="B178:B185" si="6">B177+1</f>
        <v>2</v>
      </c>
      <c r="C178" s="172" t="s">
        <v>26</v>
      </c>
      <c r="D178" s="169" t="s">
        <v>7</v>
      </c>
      <c r="E178" s="1733">
        <v>24500</v>
      </c>
      <c r="F178" s="191"/>
      <c r="L178" s="1733">
        <v>24500</v>
      </c>
    </row>
    <row r="179" spans="2:12" s="20" customFormat="1" ht="15" customHeight="1">
      <c r="B179" s="184">
        <f t="shared" si="6"/>
        <v>3</v>
      </c>
      <c r="C179" s="172" t="s">
        <v>213</v>
      </c>
      <c r="D179" s="173" t="s">
        <v>357</v>
      </c>
      <c r="E179" s="1733">
        <v>200000</v>
      </c>
      <c r="F179" s="187"/>
      <c r="G179" s="380"/>
      <c r="L179" s="1733">
        <v>200000</v>
      </c>
    </row>
    <row r="180" spans="2:12" s="20" customFormat="1" ht="15" customHeight="1">
      <c r="B180" s="184">
        <f t="shared" si="6"/>
        <v>4</v>
      </c>
      <c r="C180" s="172" t="s">
        <v>214</v>
      </c>
      <c r="D180" s="173" t="s">
        <v>357</v>
      </c>
      <c r="E180" s="1733">
        <v>280000</v>
      </c>
      <c r="F180" s="187"/>
      <c r="G180" s="380"/>
      <c r="L180" s="1733">
        <v>280000</v>
      </c>
    </row>
    <row r="181" spans="2:12" s="20" customFormat="1" ht="15" customHeight="1">
      <c r="B181" s="184">
        <f t="shared" si="6"/>
        <v>5</v>
      </c>
      <c r="C181" s="172" t="s">
        <v>604</v>
      </c>
      <c r="D181" s="173" t="s">
        <v>357</v>
      </c>
      <c r="E181" s="1733">
        <v>350000</v>
      </c>
      <c r="F181" s="187"/>
      <c r="G181" s="380"/>
      <c r="L181" s="1733">
        <v>350000</v>
      </c>
    </row>
    <row r="182" spans="2:12" s="20" customFormat="1" ht="15" customHeight="1">
      <c r="B182" s="184">
        <f t="shared" si="6"/>
        <v>6</v>
      </c>
      <c r="C182" s="172" t="s">
        <v>897</v>
      </c>
      <c r="D182" s="173" t="s">
        <v>357</v>
      </c>
      <c r="E182" s="1733">
        <v>420000</v>
      </c>
      <c r="F182" s="839"/>
      <c r="G182" s="380"/>
      <c r="L182" s="1733">
        <v>420000</v>
      </c>
    </row>
    <row r="183" spans="2:12" ht="15" customHeight="1">
      <c r="B183" s="184">
        <f>B181+1</f>
        <v>6</v>
      </c>
      <c r="C183" s="172" t="s">
        <v>27</v>
      </c>
      <c r="D183" s="173" t="s">
        <v>12</v>
      </c>
      <c r="E183" s="1733">
        <v>362500</v>
      </c>
      <c r="F183" s="187"/>
      <c r="L183" s="1733">
        <v>362500</v>
      </c>
    </row>
    <row r="184" spans="2:12" ht="15" customHeight="1">
      <c r="B184" s="184">
        <f t="shared" si="6"/>
        <v>7</v>
      </c>
      <c r="C184" s="172" t="s">
        <v>28</v>
      </c>
      <c r="D184" s="173" t="s">
        <v>14</v>
      </c>
      <c r="E184" s="1733">
        <v>52500</v>
      </c>
      <c r="F184" s="187"/>
      <c r="L184" s="1733">
        <v>52500</v>
      </c>
    </row>
    <row r="185" spans="2:12" s="52" customFormat="1" ht="15" customHeight="1">
      <c r="B185" s="184">
        <f t="shared" si="6"/>
        <v>8</v>
      </c>
      <c r="C185" s="166" t="s">
        <v>511</v>
      </c>
      <c r="D185" s="169" t="s">
        <v>509</v>
      </c>
      <c r="E185" s="1733">
        <v>12500</v>
      </c>
      <c r="F185" s="191"/>
      <c r="G185" s="412">
        <v>52500</v>
      </c>
      <c r="L185" s="1733">
        <v>12500</v>
      </c>
    </row>
    <row r="186" spans="2:12" ht="15" customHeight="1">
      <c r="B186" s="184"/>
      <c r="C186" s="166"/>
      <c r="D186" s="169"/>
      <c r="E186" s="1733"/>
      <c r="F186" s="191"/>
      <c r="L186" s="1733"/>
    </row>
    <row r="187" spans="2:12" ht="15" customHeight="1">
      <c r="B187" s="184">
        <v>1</v>
      </c>
      <c r="C187" s="171" t="s">
        <v>29</v>
      </c>
      <c r="D187" s="169"/>
      <c r="E187" s="1733"/>
      <c r="F187" s="191"/>
      <c r="L187" s="1733"/>
    </row>
    <row r="188" spans="2:12" s="52" customFormat="1" ht="15" customHeight="1">
      <c r="B188" s="184">
        <f>B187+1</f>
        <v>2</v>
      </c>
      <c r="C188" s="166" t="s">
        <v>215</v>
      </c>
      <c r="D188" s="169" t="s">
        <v>30</v>
      </c>
      <c r="E188" s="1733">
        <v>9000</v>
      </c>
      <c r="F188" s="191"/>
      <c r="G188" s="377"/>
      <c r="L188" s="1733">
        <v>9000</v>
      </c>
    </row>
    <row r="189" spans="2:12" s="20" customFormat="1" ht="15" customHeight="1">
      <c r="B189" s="184">
        <f t="shared" ref="B189:B200" si="7">B188+1</f>
        <v>3</v>
      </c>
      <c r="C189" s="166" t="s">
        <v>216</v>
      </c>
      <c r="D189" s="169" t="s">
        <v>30</v>
      </c>
      <c r="E189" s="1743">
        <v>8000</v>
      </c>
      <c r="F189" s="191"/>
      <c r="G189" s="380"/>
      <c r="L189" s="1743">
        <v>8000</v>
      </c>
    </row>
    <row r="190" spans="2:12" s="20" customFormat="1" ht="15" customHeight="1">
      <c r="B190" s="184">
        <f t="shared" si="7"/>
        <v>4</v>
      </c>
      <c r="C190" s="166" t="s">
        <v>217</v>
      </c>
      <c r="D190" s="169" t="s">
        <v>10</v>
      </c>
      <c r="E190" s="1733">
        <v>2162500</v>
      </c>
      <c r="F190" s="191"/>
      <c r="G190" s="380"/>
      <c r="L190" s="1733">
        <v>2162500</v>
      </c>
    </row>
    <row r="191" spans="2:12" s="20" customFormat="1" ht="15" customHeight="1">
      <c r="B191" s="184">
        <f t="shared" si="7"/>
        <v>5</v>
      </c>
      <c r="C191" s="166" t="s">
        <v>218</v>
      </c>
      <c r="D191" s="169" t="s">
        <v>10</v>
      </c>
      <c r="E191" s="1733">
        <v>11500000</v>
      </c>
      <c r="F191" s="191"/>
      <c r="G191" s="380"/>
      <c r="L191" s="1733">
        <v>11500000</v>
      </c>
    </row>
    <row r="192" spans="2:12" s="20" customFormat="1" ht="15" customHeight="1">
      <c r="B192" s="184">
        <f t="shared" si="7"/>
        <v>6</v>
      </c>
      <c r="C192" s="166" t="s">
        <v>219</v>
      </c>
      <c r="D192" s="169" t="s">
        <v>10</v>
      </c>
      <c r="E192" s="1733">
        <v>17000000</v>
      </c>
      <c r="F192" s="191"/>
      <c r="G192" s="380"/>
      <c r="L192" s="1733">
        <v>17000000</v>
      </c>
    </row>
    <row r="193" spans="2:12" s="20" customFormat="1" ht="15" customHeight="1">
      <c r="B193" s="184">
        <f>B191+1</f>
        <v>6</v>
      </c>
      <c r="C193" s="166" t="s">
        <v>840</v>
      </c>
      <c r="D193" s="169" t="s">
        <v>10</v>
      </c>
      <c r="E193" s="1733">
        <v>9500000</v>
      </c>
      <c r="F193" s="191"/>
      <c r="G193" s="380"/>
      <c r="L193" s="1733">
        <v>9500000</v>
      </c>
    </row>
    <row r="194" spans="2:12" s="52" customFormat="1" ht="15" customHeight="1">
      <c r="B194" s="184">
        <f>B192+1</f>
        <v>7</v>
      </c>
      <c r="C194" s="166" t="s">
        <v>220</v>
      </c>
      <c r="D194" s="169" t="s">
        <v>10</v>
      </c>
      <c r="E194" s="1733">
        <v>10000000</v>
      </c>
      <c r="F194" s="191"/>
      <c r="G194" s="377"/>
      <c r="L194" s="1733">
        <v>10000000</v>
      </c>
    </row>
    <row r="195" spans="2:12" s="51" customFormat="1" ht="15" customHeight="1">
      <c r="B195" s="184">
        <f t="shared" si="7"/>
        <v>8</v>
      </c>
      <c r="C195" s="411" t="s">
        <v>325</v>
      </c>
      <c r="D195" s="157" t="s">
        <v>270</v>
      </c>
      <c r="E195" s="1743">
        <v>2600000</v>
      </c>
      <c r="F195" s="158"/>
      <c r="G195" s="381"/>
      <c r="L195" s="1743">
        <v>2600000</v>
      </c>
    </row>
    <row r="196" spans="2:12" s="51" customFormat="1" ht="15" customHeight="1">
      <c r="B196" s="330"/>
      <c r="C196" s="840" t="s">
        <v>885</v>
      </c>
      <c r="D196" s="409" t="str">
        <f>D195</f>
        <v>M³</v>
      </c>
      <c r="E196" s="1746">
        <v>2200000</v>
      </c>
      <c r="F196" s="410"/>
      <c r="G196" s="381"/>
      <c r="L196" s="1746">
        <v>2200000</v>
      </c>
    </row>
    <row r="197" spans="2:12" ht="15" customHeight="1">
      <c r="B197" s="184">
        <f>B195+1</f>
        <v>9</v>
      </c>
      <c r="C197" s="411" t="s">
        <v>754</v>
      </c>
      <c r="D197" s="157" t="s">
        <v>168</v>
      </c>
      <c r="E197" s="1743">
        <v>20000</v>
      </c>
      <c r="F197" s="158"/>
      <c r="L197" s="1743">
        <v>20000</v>
      </c>
    </row>
    <row r="198" spans="2:12" s="20" customFormat="1" ht="15" customHeight="1">
      <c r="B198" s="184">
        <f t="shared" si="7"/>
        <v>10</v>
      </c>
      <c r="C198" s="166" t="s">
        <v>243</v>
      </c>
      <c r="D198" s="169" t="s">
        <v>20</v>
      </c>
      <c r="E198" s="1733">
        <v>14500</v>
      </c>
      <c r="F198" s="191"/>
      <c r="G198" s="380"/>
      <c r="L198" s="1733">
        <v>14500</v>
      </c>
    </row>
    <row r="199" spans="2:12" s="20" customFormat="1" ht="15" customHeight="1">
      <c r="B199" s="184">
        <f t="shared" si="7"/>
        <v>11</v>
      </c>
      <c r="C199" s="166" t="s">
        <v>244</v>
      </c>
      <c r="D199" s="169" t="s">
        <v>20</v>
      </c>
      <c r="E199" s="1733">
        <v>12000</v>
      </c>
      <c r="F199" s="191"/>
      <c r="G199" s="380"/>
      <c r="L199" s="1733">
        <v>12000</v>
      </c>
    </row>
    <row r="200" spans="2:12" s="20" customFormat="1" ht="15" customHeight="1">
      <c r="B200" s="184">
        <f t="shared" si="7"/>
        <v>12</v>
      </c>
      <c r="C200" s="411" t="s">
        <v>842</v>
      </c>
      <c r="D200" s="157" t="s">
        <v>268</v>
      </c>
      <c r="E200" s="1743">
        <v>47500</v>
      </c>
      <c r="F200" s="158"/>
      <c r="G200" s="380"/>
      <c r="L200" s="1743">
        <v>47500</v>
      </c>
    </row>
    <row r="201" spans="2:12" ht="15" customHeight="1">
      <c r="B201" s="184"/>
      <c r="C201" s="166"/>
      <c r="D201" s="169"/>
      <c r="E201" s="1733"/>
      <c r="F201" s="191"/>
      <c r="L201" s="1733"/>
    </row>
    <row r="202" spans="2:12" ht="15" customHeight="1">
      <c r="B202" s="198"/>
      <c r="C202" s="171" t="s">
        <v>115</v>
      </c>
      <c r="D202" s="169"/>
      <c r="E202" s="1733"/>
      <c r="F202" s="191"/>
      <c r="L202" s="1733"/>
    </row>
    <row r="203" spans="2:12" ht="15" customHeight="1">
      <c r="B203" s="184">
        <v>1</v>
      </c>
      <c r="C203" s="199" t="s">
        <v>114</v>
      </c>
      <c r="D203" s="169"/>
      <c r="E203" s="1733"/>
      <c r="F203" s="191"/>
      <c r="L203" s="1733"/>
    </row>
    <row r="204" spans="2:12" s="20" customFormat="1" ht="15" customHeight="1">
      <c r="B204" s="184">
        <f t="shared" ref="B204:B205" si="8">B203+1</f>
        <v>2</v>
      </c>
      <c r="C204" s="166" t="s">
        <v>588</v>
      </c>
      <c r="D204" s="169" t="s">
        <v>12</v>
      </c>
      <c r="E204" s="1733">
        <v>135000</v>
      </c>
      <c r="F204" s="191"/>
      <c r="G204" s="380"/>
      <c r="L204" s="1733">
        <v>135000</v>
      </c>
    </row>
    <row r="205" spans="2:12" s="20" customFormat="1" ht="15" customHeight="1">
      <c r="B205" s="184">
        <f t="shared" si="8"/>
        <v>3</v>
      </c>
      <c r="C205" s="166" t="s">
        <v>607</v>
      </c>
      <c r="D205" s="169" t="s">
        <v>12</v>
      </c>
      <c r="E205" s="1733">
        <v>145000</v>
      </c>
      <c r="F205" s="191"/>
      <c r="G205" s="380"/>
      <c r="L205" s="1733">
        <v>145000</v>
      </c>
    </row>
    <row r="206" spans="2:12" s="20" customFormat="1" ht="15" customHeight="1">
      <c r="B206" s="184">
        <v>4</v>
      </c>
      <c r="C206" s="166" t="s">
        <v>142</v>
      </c>
      <c r="D206" s="169" t="s">
        <v>20</v>
      </c>
      <c r="E206" s="1733">
        <v>40000</v>
      </c>
      <c r="F206" s="191"/>
      <c r="G206" s="380"/>
      <c r="L206" s="1733">
        <v>40000</v>
      </c>
    </row>
    <row r="207" spans="2:12" ht="15" customHeight="1">
      <c r="C207" s="166"/>
      <c r="D207" s="169"/>
      <c r="E207" s="1733"/>
      <c r="F207" s="191"/>
      <c r="L207" s="1733"/>
    </row>
    <row r="208" spans="2:12" ht="15" customHeight="1">
      <c r="B208" s="184">
        <v>4</v>
      </c>
      <c r="C208" s="200" t="s">
        <v>610</v>
      </c>
      <c r="D208" s="201" t="s">
        <v>7</v>
      </c>
      <c r="E208" s="1747">
        <v>14800</v>
      </c>
      <c r="F208" s="202"/>
      <c r="L208" s="1747">
        <v>14800</v>
      </c>
    </row>
    <row r="209" spans="2:12" ht="15" customHeight="1">
      <c r="B209" s="330"/>
      <c r="C209" s="335"/>
      <c r="D209" s="332"/>
      <c r="E209" s="1747"/>
      <c r="F209" s="333"/>
      <c r="L209" s="1747"/>
    </row>
    <row r="210" spans="2:12" ht="15" customHeight="1">
      <c r="B210" s="184"/>
      <c r="C210" s="171" t="s">
        <v>31</v>
      </c>
      <c r="D210" s="169"/>
      <c r="E210" s="1733"/>
      <c r="F210" s="191"/>
      <c r="L210" s="1733"/>
    </row>
    <row r="211" spans="2:12" ht="15" customHeight="1">
      <c r="B211" s="184"/>
      <c r="C211" s="199" t="s">
        <v>108</v>
      </c>
      <c r="D211" s="169"/>
      <c r="E211" s="1733"/>
      <c r="F211" s="191"/>
      <c r="L211" s="1733"/>
    </row>
    <row r="212" spans="2:12" s="20" customFormat="1" ht="15" customHeight="1">
      <c r="B212" s="184">
        <v>1</v>
      </c>
      <c r="C212" s="166" t="s">
        <v>233</v>
      </c>
      <c r="D212" s="169" t="s">
        <v>291</v>
      </c>
      <c r="E212" s="1733">
        <v>70000</v>
      </c>
      <c r="F212" s="191"/>
      <c r="G212" s="380"/>
      <c r="L212" s="1733">
        <v>70000</v>
      </c>
    </row>
    <row r="213" spans="2:12" ht="15" customHeight="1">
      <c r="B213" s="184">
        <f>B212+1</f>
        <v>2</v>
      </c>
      <c r="C213" s="166" t="s">
        <v>232</v>
      </c>
      <c r="D213" s="169" t="s">
        <v>18</v>
      </c>
      <c r="E213" s="1733">
        <v>131000</v>
      </c>
      <c r="F213" s="191"/>
      <c r="L213" s="1733">
        <v>131000</v>
      </c>
    </row>
    <row r="214" spans="2:12" s="20" customFormat="1" ht="15" customHeight="1">
      <c r="B214" s="184">
        <f t="shared" ref="B214:B223" si="9">B213+1</f>
        <v>3</v>
      </c>
      <c r="C214" s="172" t="s">
        <v>235</v>
      </c>
      <c r="D214" s="173" t="s">
        <v>7</v>
      </c>
      <c r="E214" s="1733">
        <v>36500</v>
      </c>
      <c r="F214" s="187"/>
      <c r="G214" s="380"/>
      <c r="L214" s="1733">
        <v>36500</v>
      </c>
    </row>
    <row r="215" spans="2:12" ht="15" customHeight="1">
      <c r="B215" s="184">
        <f t="shared" si="9"/>
        <v>4</v>
      </c>
      <c r="C215" s="172" t="s">
        <v>234</v>
      </c>
      <c r="D215" s="173" t="s">
        <v>18</v>
      </c>
      <c r="E215" s="1733">
        <v>102000</v>
      </c>
      <c r="F215" s="187"/>
      <c r="L215" s="1733">
        <v>102000</v>
      </c>
    </row>
    <row r="216" spans="2:12" s="20" customFormat="1" ht="15" customHeight="1">
      <c r="B216" s="184">
        <f t="shared" si="9"/>
        <v>5</v>
      </c>
      <c r="C216" s="156" t="s">
        <v>236</v>
      </c>
      <c r="D216" s="157" t="s">
        <v>291</v>
      </c>
      <c r="E216" s="1743">
        <v>124000</v>
      </c>
      <c r="F216" s="369"/>
      <c r="G216" s="380"/>
      <c r="L216" s="1743">
        <v>124000</v>
      </c>
    </row>
    <row r="217" spans="2:12" s="20" customFormat="1" ht="15" customHeight="1">
      <c r="B217" s="184">
        <f t="shared" si="9"/>
        <v>6</v>
      </c>
      <c r="C217" s="166" t="s">
        <v>239</v>
      </c>
      <c r="D217" s="169" t="s">
        <v>291</v>
      </c>
      <c r="E217" s="1733">
        <v>58000</v>
      </c>
      <c r="F217" s="191"/>
      <c r="G217" s="380"/>
      <c r="L217" s="1733">
        <v>58000</v>
      </c>
    </row>
    <row r="218" spans="2:12" s="20" customFormat="1" ht="15" customHeight="1">
      <c r="B218" s="184">
        <f t="shared" si="9"/>
        <v>7</v>
      </c>
      <c r="C218" s="166" t="s">
        <v>240</v>
      </c>
      <c r="D218" s="169" t="s">
        <v>32</v>
      </c>
      <c r="E218" s="1733">
        <v>235750</v>
      </c>
      <c r="F218" s="191"/>
      <c r="G218" s="376"/>
      <c r="L218" s="1733">
        <v>235750</v>
      </c>
    </row>
    <row r="219" spans="2:12" s="20" customFormat="1" ht="15" customHeight="1">
      <c r="B219" s="184">
        <f t="shared" si="9"/>
        <v>8</v>
      </c>
      <c r="C219" s="166" t="s">
        <v>241</v>
      </c>
      <c r="D219" s="169" t="s">
        <v>32</v>
      </c>
      <c r="E219" s="1733">
        <v>235750</v>
      </c>
      <c r="F219" s="191"/>
      <c r="G219" s="377"/>
      <c r="L219" s="1733">
        <v>235750</v>
      </c>
    </row>
    <row r="220" spans="2:12" ht="15" customHeight="1">
      <c r="B220" s="184">
        <f t="shared" si="9"/>
        <v>9</v>
      </c>
      <c r="C220" s="166" t="s">
        <v>242</v>
      </c>
      <c r="D220" s="169" t="s">
        <v>32</v>
      </c>
      <c r="E220" s="1733">
        <v>304750</v>
      </c>
      <c r="F220" s="191"/>
      <c r="L220" s="1733">
        <v>304750</v>
      </c>
    </row>
    <row r="221" spans="2:12" ht="15" customHeight="1">
      <c r="B221" s="184">
        <f t="shared" si="9"/>
        <v>10</v>
      </c>
      <c r="C221" s="166" t="s">
        <v>222</v>
      </c>
      <c r="D221" s="169" t="s">
        <v>32</v>
      </c>
      <c r="E221" s="1733">
        <v>104900</v>
      </c>
      <c r="F221" s="191"/>
      <c r="L221" s="1733">
        <v>104900</v>
      </c>
    </row>
    <row r="222" spans="2:12" s="20" customFormat="1" ht="15" customHeight="1">
      <c r="B222" s="184">
        <f t="shared" si="9"/>
        <v>11</v>
      </c>
      <c r="C222" s="156" t="s">
        <v>237</v>
      </c>
      <c r="D222" s="157" t="s">
        <v>291</v>
      </c>
      <c r="E222" s="1743">
        <v>58000</v>
      </c>
      <c r="F222" s="158"/>
      <c r="G222" s="380"/>
      <c r="L222" s="1743">
        <v>58000</v>
      </c>
    </row>
    <row r="223" spans="2:12" s="20" customFormat="1" ht="15" customHeight="1">
      <c r="B223" s="184">
        <f t="shared" si="9"/>
        <v>12</v>
      </c>
      <c r="C223" s="194" t="s">
        <v>680</v>
      </c>
      <c r="D223" s="195" t="s">
        <v>7</v>
      </c>
      <c r="E223" s="1733">
        <v>625000</v>
      </c>
      <c r="F223" s="196"/>
      <c r="G223" s="377"/>
      <c r="L223" s="1733">
        <v>625000</v>
      </c>
    </row>
    <row r="224" spans="2:12" s="51" customFormat="1" ht="15" customHeight="1">
      <c r="B224" s="184"/>
      <c r="C224" s="194"/>
      <c r="D224" s="195"/>
      <c r="E224" s="1733"/>
      <c r="F224" s="196"/>
      <c r="G224" s="376"/>
      <c r="L224" s="1733"/>
    </row>
    <row r="225" spans="2:12" ht="15" customHeight="1">
      <c r="B225" s="197"/>
      <c r="C225" s="203" t="s">
        <v>33</v>
      </c>
      <c r="D225" s="195"/>
      <c r="E225" s="1733"/>
      <c r="F225" s="196"/>
      <c r="L225" s="1733"/>
    </row>
    <row r="226" spans="2:12" ht="15" customHeight="1">
      <c r="B226" s="197"/>
      <c r="C226" s="194" t="s">
        <v>493</v>
      </c>
      <c r="D226" s="195" t="s">
        <v>14</v>
      </c>
      <c r="E226" s="1733">
        <v>27000</v>
      </c>
      <c r="F226" s="196"/>
      <c r="G226" s="381"/>
      <c r="L226" s="1733">
        <v>27000</v>
      </c>
    </row>
    <row r="227" spans="2:12" s="51" customFormat="1" ht="15" customHeight="1">
      <c r="B227" s="204">
        <v>1</v>
      </c>
      <c r="C227" s="194" t="s">
        <v>109</v>
      </c>
      <c r="D227" s="195" t="s">
        <v>14</v>
      </c>
      <c r="E227" s="1733">
        <v>20000</v>
      </c>
      <c r="F227" s="196"/>
      <c r="G227" s="381"/>
      <c r="L227" s="1733">
        <v>20000</v>
      </c>
    </row>
    <row r="228" spans="2:12" s="51" customFormat="1" ht="15" customHeight="1">
      <c r="B228" s="184">
        <f>B227+1</f>
        <v>2</v>
      </c>
      <c r="C228" s="194" t="s">
        <v>382</v>
      </c>
      <c r="D228" s="195" t="s">
        <v>268</v>
      </c>
      <c r="E228" s="1733">
        <v>20000</v>
      </c>
      <c r="F228" s="196"/>
      <c r="G228" s="382"/>
      <c r="L228" s="1733">
        <v>20000</v>
      </c>
    </row>
    <row r="229" spans="2:12" s="53" customFormat="1" ht="15" customHeight="1">
      <c r="B229" s="184">
        <f>B228+1</f>
        <v>3</v>
      </c>
      <c r="C229" s="194" t="s">
        <v>322</v>
      </c>
      <c r="D229" s="195" t="s">
        <v>14</v>
      </c>
      <c r="E229" s="1733">
        <v>20000</v>
      </c>
      <c r="F229" s="196"/>
      <c r="G229" s="382"/>
      <c r="L229" s="1733">
        <v>20000</v>
      </c>
    </row>
    <row r="230" spans="2:12" s="53" customFormat="1" ht="15" customHeight="1">
      <c r="B230" s="184">
        <f t="shared" ref="B230:B239" si="10">B229+1</f>
        <v>4</v>
      </c>
      <c r="C230" s="194" t="s">
        <v>323</v>
      </c>
      <c r="D230" s="195" t="s">
        <v>14</v>
      </c>
      <c r="E230" s="1733">
        <v>20000</v>
      </c>
      <c r="F230" s="196"/>
      <c r="G230" s="382"/>
      <c r="L230" s="1733">
        <v>20000</v>
      </c>
    </row>
    <row r="231" spans="2:12" s="53" customFormat="1" ht="15" customHeight="1">
      <c r="B231" s="184">
        <f t="shared" si="10"/>
        <v>5</v>
      </c>
      <c r="C231" s="194" t="s">
        <v>307</v>
      </c>
      <c r="D231" s="195" t="s">
        <v>14</v>
      </c>
      <c r="E231" s="1733">
        <v>20000</v>
      </c>
      <c r="F231" s="196"/>
      <c r="G231" s="377"/>
      <c r="L231" s="1733">
        <v>20000</v>
      </c>
    </row>
    <row r="232" spans="2:12" s="52" customFormat="1" ht="15" customHeight="1">
      <c r="B232" s="864">
        <f t="shared" si="10"/>
        <v>6</v>
      </c>
      <c r="C232" s="866" t="s">
        <v>110</v>
      </c>
      <c r="D232" s="871" t="s">
        <v>34</v>
      </c>
      <c r="E232" s="1745">
        <v>15000</v>
      </c>
      <c r="F232" s="872"/>
      <c r="G232" s="381"/>
      <c r="L232" s="1745">
        <v>15000</v>
      </c>
    </row>
    <row r="233" spans="2:12" s="51" customFormat="1" ht="15" customHeight="1">
      <c r="B233" s="856">
        <f t="shared" si="10"/>
        <v>7</v>
      </c>
      <c r="C233" s="868" t="s">
        <v>158</v>
      </c>
      <c r="D233" s="869" t="s">
        <v>34</v>
      </c>
      <c r="E233" s="1723">
        <v>20000</v>
      </c>
      <c r="F233" s="870"/>
      <c r="G233" s="381"/>
      <c r="L233" s="1723">
        <v>20000</v>
      </c>
    </row>
    <row r="234" spans="2:12" ht="15" customHeight="1">
      <c r="B234" s="184">
        <f t="shared" si="10"/>
        <v>8</v>
      </c>
      <c r="C234" s="194" t="s">
        <v>35</v>
      </c>
      <c r="D234" s="195" t="s">
        <v>36</v>
      </c>
      <c r="E234" s="1733">
        <v>23400</v>
      </c>
      <c r="F234" s="196"/>
      <c r="G234" s="380"/>
      <c r="L234" s="1733">
        <v>23400</v>
      </c>
    </row>
    <row r="235" spans="2:12" s="20" customFormat="1" ht="15" customHeight="1">
      <c r="B235" s="184">
        <f t="shared" si="10"/>
        <v>9</v>
      </c>
      <c r="C235" s="194" t="s">
        <v>37</v>
      </c>
      <c r="D235" s="195" t="s">
        <v>36</v>
      </c>
      <c r="E235" s="1733">
        <v>40800</v>
      </c>
      <c r="F235" s="196"/>
      <c r="G235" s="380"/>
      <c r="L235" s="1733">
        <v>40800</v>
      </c>
    </row>
    <row r="236" spans="2:12" s="20" customFormat="1" ht="15" customHeight="1">
      <c r="B236" s="184">
        <f t="shared" si="10"/>
        <v>10</v>
      </c>
      <c r="C236" s="194" t="s">
        <v>358</v>
      </c>
      <c r="D236" s="195" t="str">
        <f>D237</f>
        <v>Kg</v>
      </c>
      <c r="E236" s="1733">
        <v>20000</v>
      </c>
      <c r="F236" s="196"/>
      <c r="G236" s="380"/>
      <c r="L236" s="1733">
        <v>20000</v>
      </c>
    </row>
    <row r="237" spans="2:12" s="20" customFormat="1" ht="15" customHeight="1">
      <c r="B237" s="184">
        <f t="shared" si="10"/>
        <v>11</v>
      </c>
      <c r="C237" s="194" t="s">
        <v>369</v>
      </c>
      <c r="D237" s="195" t="s">
        <v>268</v>
      </c>
      <c r="E237" s="1733">
        <v>27000</v>
      </c>
      <c r="F237" s="196"/>
      <c r="G237" s="380"/>
      <c r="L237" s="1733">
        <v>27000</v>
      </c>
    </row>
    <row r="238" spans="2:12" s="20" customFormat="1" ht="15" customHeight="1">
      <c r="B238" s="184">
        <f t="shared" si="10"/>
        <v>12</v>
      </c>
      <c r="C238" s="194" t="s">
        <v>368</v>
      </c>
      <c r="D238" s="195" t="s">
        <v>268</v>
      </c>
      <c r="E238" s="1733">
        <v>22000</v>
      </c>
      <c r="F238" s="196"/>
      <c r="G238" s="377"/>
      <c r="L238" s="1733">
        <v>22000</v>
      </c>
    </row>
    <row r="239" spans="2:12" s="52" customFormat="1" ht="15" customHeight="1">
      <c r="B239" s="184">
        <f t="shared" si="10"/>
        <v>13</v>
      </c>
      <c r="C239" s="194" t="s">
        <v>269</v>
      </c>
      <c r="D239" s="195" t="s">
        <v>268</v>
      </c>
      <c r="E239" s="1733">
        <v>37000</v>
      </c>
      <c r="F239" s="196"/>
      <c r="G239" s="377"/>
      <c r="L239" s="1733">
        <v>37000</v>
      </c>
    </row>
    <row r="240" spans="2:12" ht="15" customHeight="1">
      <c r="B240" s="205"/>
      <c r="C240" s="114"/>
      <c r="D240" s="115"/>
      <c r="E240" s="1742"/>
      <c r="F240" s="190"/>
      <c r="L240" s="1742"/>
    </row>
    <row r="241" spans="2:12" ht="15" customHeight="1">
      <c r="B241" s="113"/>
      <c r="C241" s="206" t="s">
        <v>38</v>
      </c>
      <c r="D241" s="195"/>
      <c r="E241" s="1733"/>
      <c r="F241" s="196"/>
      <c r="L241" s="1733"/>
    </row>
    <row r="242" spans="2:12" s="20" customFormat="1" ht="15" customHeight="1">
      <c r="B242" s="184">
        <v>1</v>
      </c>
      <c r="C242" s="194" t="s">
        <v>839</v>
      </c>
      <c r="D242" s="195" t="s">
        <v>5</v>
      </c>
      <c r="E242" s="1733">
        <v>16000</v>
      </c>
      <c r="F242" s="196"/>
      <c r="G242" s="377"/>
      <c r="L242" s="1733">
        <v>16000</v>
      </c>
    </row>
    <row r="243" spans="2:12" s="52" customFormat="1" ht="15" customHeight="1">
      <c r="B243" s="184">
        <f t="shared" ref="B243:B247" si="11">B242+1</f>
        <v>2</v>
      </c>
      <c r="C243" s="194" t="s">
        <v>39</v>
      </c>
      <c r="D243" s="195" t="s">
        <v>5</v>
      </c>
      <c r="E243" s="1733">
        <v>16000</v>
      </c>
      <c r="F243" s="196"/>
      <c r="G243" s="377"/>
      <c r="L243" s="1733">
        <v>16000</v>
      </c>
    </row>
    <row r="244" spans="2:12" s="52" customFormat="1" ht="15" customHeight="1">
      <c r="B244" s="184">
        <f t="shared" si="11"/>
        <v>3</v>
      </c>
      <c r="C244" s="194" t="s">
        <v>223</v>
      </c>
      <c r="D244" s="195" t="s">
        <v>5</v>
      </c>
      <c r="E244" s="1733">
        <v>16000</v>
      </c>
      <c r="F244" s="196"/>
      <c r="G244" s="380"/>
      <c r="L244" s="1733">
        <v>16000</v>
      </c>
    </row>
    <row r="245" spans="2:12" s="20" customFormat="1" ht="15" customHeight="1">
      <c r="B245" s="184">
        <f t="shared" si="11"/>
        <v>4</v>
      </c>
      <c r="C245" s="194" t="s">
        <v>224</v>
      </c>
      <c r="D245" s="195" t="s">
        <v>5</v>
      </c>
      <c r="E245" s="1748">
        <v>4900</v>
      </c>
      <c r="F245" s="196"/>
      <c r="G245" s="377"/>
      <c r="L245" s="1748">
        <v>4900</v>
      </c>
    </row>
    <row r="246" spans="2:12" s="52" customFormat="1" ht="15" customHeight="1">
      <c r="B246" s="184">
        <f t="shared" si="11"/>
        <v>5</v>
      </c>
      <c r="C246" s="194" t="s">
        <v>111</v>
      </c>
      <c r="D246" s="195" t="s">
        <v>7</v>
      </c>
      <c r="E246" s="1733">
        <v>160000</v>
      </c>
      <c r="F246" s="196" t="s">
        <v>650</v>
      </c>
      <c r="G246" s="380"/>
      <c r="L246" s="1733">
        <v>160000</v>
      </c>
    </row>
    <row r="247" spans="2:12" s="20" customFormat="1" ht="15" customHeight="1">
      <c r="B247" s="184">
        <f t="shared" si="11"/>
        <v>6</v>
      </c>
      <c r="C247" s="194" t="s">
        <v>112</v>
      </c>
      <c r="D247" s="195" t="s">
        <v>7</v>
      </c>
      <c r="E247" s="1733">
        <v>190000</v>
      </c>
      <c r="F247" s="196" t="s">
        <v>650</v>
      </c>
      <c r="G247" s="380"/>
      <c r="L247" s="1733">
        <v>190000</v>
      </c>
    </row>
    <row r="248" spans="2:12" s="20" customFormat="1" ht="15" customHeight="1">
      <c r="B248" s="184"/>
      <c r="C248" s="172"/>
      <c r="D248" s="173"/>
      <c r="E248" s="1733"/>
      <c r="F248" s="187"/>
      <c r="G248" s="376"/>
      <c r="L248" s="1733"/>
    </row>
    <row r="249" spans="2:12" ht="15" customHeight="1">
      <c r="B249" s="184"/>
      <c r="C249" s="171" t="s">
        <v>40</v>
      </c>
      <c r="D249" s="169"/>
      <c r="E249" s="1733"/>
      <c r="F249" s="191"/>
      <c r="L249" s="1733"/>
    </row>
    <row r="250" spans="2:12" ht="15" customHeight="1">
      <c r="B250" s="184">
        <v>1</v>
      </c>
      <c r="C250" s="207" t="s">
        <v>225</v>
      </c>
      <c r="D250" s="208" t="s">
        <v>21</v>
      </c>
      <c r="E250" s="1749">
        <v>66000</v>
      </c>
      <c r="F250" s="177"/>
      <c r="G250" s="381"/>
      <c r="L250" s="1749">
        <v>66000</v>
      </c>
    </row>
    <row r="251" spans="2:12" s="51" customFormat="1" ht="15" customHeight="1">
      <c r="B251" s="184">
        <f>B250+1</f>
        <v>2</v>
      </c>
      <c r="C251" s="172" t="s">
        <v>226</v>
      </c>
      <c r="D251" s="173" t="s">
        <v>21</v>
      </c>
      <c r="E251" s="1733">
        <v>46000</v>
      </c>
      <c r="F251" s="187"/>
      <c r="G251" s="376"/>
      <c r="L251" s="1733">
        <v>46000</v>
      </c>
    </row>
    <row r="252" spans="2:12" ht="15" customHeight="1">
      <c r="B252" s="184">
        <f>B251+1</f>
        <v>3</v>
      </c>
      <c r="C252" s="172" t="s">
        <v>677</v>
      </c>
      <c r="D252" s="173" t="str">
        <f>D250</f>
        <v>lbr</v>
      </c>
      <c r="E252" s="1733">
        <v>145200</v>
      </c>
      <c r="F252" s="187"/>
      <c r="G252" s="380"/>
      <c r="L252" s="1733">
        <v>145200</v>
      </c>
    </row>
    <row r="253" spans="2:12" s="20" customFormat="1" ht="15" customHeight="1">
      <c r="B253" s="184">
        <f t="shared" ref="B253:B263" si="12">B252+1</f>
        <v>4</v>
      </c>
      <c r="C253" s="172" t="s">
        <v>41</v>
      </c>
      <c r="D253" s="173" t="str">
        <f>D251</f>
        <v>lbr</v>
      </c>
      <c r="E253" s="1733">
        <v>105000</v>
      </c>
      <c r="F253" s="187"/>
      <c r="G253" s="377"/>
      <c r="L253" s="1733">
        <v>105000</v>
      </c>
    </row>
    <row r="254" spans="2:12" s="20" customFormat="1" ht="15" customHeight="1">
      <c r="B254" s="894"/>
      <c r="C254" s="331" t="s">
        <v>1044</v>
      </c>
      <c r="D254" s="332" t="str">
        <f>D253</f>
        <v>lbr</v>
      </c>
      <c r="E254" s="1750">
        <v>87000</v>
      </c>
      <c r="F254" s="895"/>
      <c r="G254" s="377"/>
      <c r="L254" s="1750">
        <v>87000</v>
      </c>
    </row>
    <row r="255" spans="2:12" s="20" customFormat="1" ht="15" customHeight="1">
      <c r="B255" s="184">
        <f>B253+1</f>
        <v>5</v>
      </c>
      <c r="C255" s="166" t="s">
        <v>42</v>
      </c>
      <c r="D255" s="173" t="s">
        <v>21</v>
      </c>
      <c r="E255" s="1733">
        <v>95000</v>
      </c>
      <c r="F255" s="187"/>
      <c r="G255" s="377"/>
      <c r="L255" s="1733">
        <v>95000</v>
      </c>
    </row>
    <row r="256" spans="2:12" s="52" customFormat="1" ht="15" customHeight="1">
      <c r="B256" s="184">
        <f t="shared" si="12"/>
        <v>6</v>
      </c>
      <c r="C256" s="166" t="s">
        <v>43</v>
      </c>
      <c r="D256" s="169" t="s">
        <v>21</v>
      </c>
      <c r="E256" s="1733">
        <v>131000</v>
      </c>
      <c r="F256" s="191"/>
      <c r="G256" s="377"/>
      <c r="L256" s="1733">
        <v>131000</v>
      </c>
    </row>
    <row r="257" spans="2:12" s="52" customFormat="1" ht="15" customHeight="1">
      <c r="B257" s="184">
        <f t="shared" si="12"/>
        <v>7</v>
      </c>
      <c r="C257" s="172" t="s">
        <v>164</v>
      </c>
      <c r="D257" s="173" t="s">
        <v>30</v>
      </c>
      <c r="E257" s="1733">
        <v>35000</v>
      </c>
      <c r="F257" s="187"/>
      <c r="G257" s="380"/>
      <c r="L257" s="1733">
        <v>35000</v>
      </c>
    </row>
    <row r="258" spans="2:12" s="20" customFormat="1" ht="15" customHeight="1">
      <c r="B258" s="184">
        <f t="shared" si="12"/>
        <v>8</v>
      </c>
      <c r="C258" s="172" t="s">
        <v>165</v>
      </c>
      <c r="D258" s="173" t="s">
        <v>30</v>
      </c>
      <c r="E258" s="1733">
        <v>25000</v>
      </c>
      <c r="F258" s="187"/>
      <c r="G258" s="380"/>
      <c r="L258" s="1733">
        <v>25000</v>
      </c>
    </row>
    <row r="259" spans="2:12" s="20" customFormat="1" ht="15" customHeight="1">
      <c r="B259" s="184">
        <f t="shared" si="12"/>
        <v>9</v>
      </c>
      <c r="C259" s="172" t="s">
        <v>377</v>
      </c>
      <c r="D259" s="173" t="s">
        <v>30</v>
      </c>
      <c r="E259" s="1733">
        <v>60000</v>
      </c>
      <c r="F259" s="187"/>
      <c r="G259" s="376"/>
      <c r="L259" s="1733">
        <v>60000</v>
      </c>
    </row>
    <row r="260" spans="2:12" ht="15" customHeight="1">
      <c r="B260" s="184">
        <f t="shared" si="12"/>
        <v>10</v>
      </c>
      <c r="C260" s="209" t="s">
        <v>733</v>
      </c>
      <c r="D260" s="210" t="s">
        <v>21</v>
      </c>
      <c r="E260" s="1751">
        <v>90400</v>
      </c>
      <c r="F260" s="211"/>
      <c r="L260" s="1751">
        <v>90400</v>
      </c>
    </row>
    <row r="261" spans="2:12" ht="15" customHeight="1">
      <c r="B261" s="184">
        <f t="shared" si="12"/>
        <v>11</v>
      </c>
      <c r="C261" s="209" t="s">
        <v>734</v>
      </c>
      <c r="D261" s="210" t="s">
        <v>21</v>
      </c>
      <c r="E261" s="1751">
        <v>105200</v>
      </c>
      <c r="F261" s="211"/>
      <c r="H261" s="329" t="s">
        <v>735</v>
      </c>
      <c r="L261" s="1751">
        <v>105200</v>
      </c>
    </row>
    <row r="262" spans="2:12" ht="15" customHeight="1">
      <c r="B262" s="184">
        <f t="shared" si="12"/>
        <v>12</v>
      </c>
      <c r="C262" s="212" t="s">
        <v>675</v>
      </c>
      <c r="D262" s="195" t="s">
        <v>676</v>
      </c>
      <c r="E262" s="1752">
        <v>12000</v>
      </c>
      <c r="F262" s="202"/>
      <c r="G262" s="381"/>
      <c r="H262" s="329" t="s">
        <v>735</v>
      </c>
      <c r="L262" s="1752">
        <v>12000</v>
      </c>
    </row>
    <row r="263" spans="2:12" s="51" customFormat="1" ht="15" customHeight="1">
      <c r="B263" s="184">
        <f t="shared" si="12"/>
        <v>13</v>
      </c>
      <c r="C263" s="214" t="s">
        <v>739</v>
      </c>
      <c r="D263" s="201" t="str">
        <f>D261</f>
        <v>lbr</v>
      </c>
      <c r="E263" s="1753">
        <v>1300000</v>
      </c>
      <c r="F263" s="202"/>
      <c r="G263" s="376"/>
      <c r="H263" s="329" t="s">
        <v>735</v>
      </c>
      <c r="L263" s="1784">
        <v>1300000</v>
      </c>
    </row>
    <row r="264" spans="2:12" ht="15" customHeight="1">
      <c r="B264" s="330"/>
      <c r="C264" s="331"/>
      <c r="D264" s="332"/>
      <c r="E264" s="1750"/>
      <c r="F264" s="333"/>
      <c r="L264" s="1750"/>
    </row>
    <row r="265" spans="2:12" ht="15" customHeight="1">
      <c r="B265" s="213"/>
      <c r="C265" s="171" t="s">
        <v>44</v>
      </c>
      <c r="D265" s="169"/>
      <c r="E265" s="1733"/>
      <c r="F265" s="191"/>
      <c r="L265" s="1733"/>
    </row>
    <row r="266" spans="2:12" s="20" customFormat="1" ht="15" customHeight="1">
      <c r="B266" s="184">
        <v>1</v>
      </c>
      <c r="C266" s="166" t="s">
        <v>159</v>
      </c>
      <c r="D266" s="169" t="s">
        <v>7</v>
      </c>
      <c r="E266" s="1733">
        <v>350000</v>
      </c>
      <c r="F266" s="191"/>
      <c r="G266" s="380"/>
      <c r="L266" s="1733">
        <v>350000</v>
      </c>
    </row>
    <row r="267" spans="2:12" s="20" customFormat="1" ht="15" customHeight="1">
      <c r="B267" s="184">
        <f>B266+1</f>
        <v>2</v>
      </c>
      <c r="C267" s="172" t="s">
        <v>738</v>
      </c>
      <c r="D267" s="173" t="s">
        <v>7</v>
      </c>
      <c r="E267" s="1733">
        <v>95000</v>
      </c>
      <c r="F267" s="187"/>
      <c r="G267" s="380"/>
      <c r="L267" s="1733">
        <v>95000</v>
      </c>
    </row>
    <row r="268" spans="2:12" s="20" customFormat="1" ht="15" customHeight="1">
      <c r="B268" s="184">
        <f>B267+1</f>
        <v>3</v>
      </c>
      <c r="C268" s="370" t="s">
        <v>533</v>
      </c>
      <c r="D268" s="371" t="s">
        <v>7</v>
      </c>
      <c r="E268" s="1754">
        <v>2450000</v>
      </c>
      <c r="F268" s="211"/>
      <c r="G268" s="377"/>
      <c r="L268" s="1754">
        <v>2450000</v>
      </c>
    </row>
    <row r="269" spans="2:12" s="51" customFormat="1" ht="15" customHeight="1">
      <c r="B269" s="184">
        <f t="shared" ref="B269:B281" si="13">B268+1</f>
        <v>4</v>
      </c>
      <c r="C269" s="172" t="s">
        <v>45</v>
      </c>
      <c r="D269" s="173" t="s">
        <v>7</v>
      </c>
      <c r="E269" s="1733">
        <v>265000</v>
      </c>
      <c r="F269" s="187"/>
      <c r="G269" s="376"/>
      <c r="L269" s="1733">
        <v>265000</v>
      </c>
    </row>
    <row r="270" spans="2:12" ht="15" customHeight="1">
      <c r="B270" s="184">
        <f t="shared" si="13"/>
        <v>5</v>
      </c>
      <c r="C270" s="172" t="s">
        <v>46</v>
      </c>
      <c r="D270" s="173" t="s">
        <v>7</v>
      </c>
      <c r="E270" s="1733">
        <v>350000</v>
      </c>
      <c r="F270" s="187"/>
      <c r="L270" s="1733">
        <v>350000</v>
      </c>
    </row>
    <row r="271" spans="2:12" s="20" customFormat="1" ht="15" customHeight="1">
      <c r="B271" s="184">
        <f t="shared" si="13"/>
        <v>6</v>
      </c>
      <c r="C271" s="172" t="s">
        <v>838</v>
      </c>
      <c r="D271" s="173" t="s">
        <v>7</v>
      </c>
      <c r="E271" s="1733">
        <v>70500</v>
      </c>
      <c r="F271" s="187"/>
      <c r="G271" s="380"/>
      <c r="L271" s="1733">
        <v>70500</v>
      </c>
    </row>
    <row r="272" spans="2:12" ht="15" customHeight="1">
      <c r="B272" s="184">
        <f t="shared" si="13"/>
        <v>7</v>
      </c>
      <c r="C272" s="172" t="s">
        <v>227</v>
      </c>
      <c r="D272" s="173" t="s">
        <v>7</v>
      </c>
      <c r="E272" s="1733">
        <v>415000</v>
      </c>
      <c r="F272" s="187"/>
      <c r="L272" s="1733">
        <v>415000</v>
      </c>
    </row>
    <row r="273" spans="2:12" s="20" customFormat="1" ht="15" customHeight="1">
      <c r="B273" s="184">
        <f t="shared" si="13"/>
        <v>8</v>
      </c>
      <c r="C273" s="172" t="s">
        <v>774</v>
      </c>
      <c r="D273" s="173" t="s">
        <v>7</v>
      </c>
      <c r="E273" s="1733">
        <v>695000</v>
      </c>
      <c r="F273" s="187"/>
      <c r="G273" s="380"/>
      <c r="L273" s="1733">
        <v>695000</v>
      </c>
    </row>
    <row r="274" spans="2:12" s="20" customFormat="1" ht="15" customHeight="1">
      <c r="B274" s="184">
        <f t="shared" si="13"/>
        <v>9</v>
      </c>
      <c r="C274" s="172" t="s">
        <v>775</v>
      </c>
      <c r="D274" s="173" t="s">
        <v>7</v>
      </c>
      <c r="E274" s="1733">
        <v>595000</v>
      </c>
      <c r="F274" s="338"/>
      <c r="G274" s="380"/>
      <c r="L274" s="1733">
        <v>595000</v>
      </c>
    </row>
    <row r="275" spans="2:12" ht="15" customHeight="1">
      <c r="B275" s="184">
        <f t="shared" si="13"/>
        <v>10</v>
      </c>
      <c r="C275" s="172" t="s">
        <v>160</v>
      </c>
      <c r="D275" s="173" t="s">
        <v>7</v>
      </c>
      <c r="E275" s="1733">
        <v>4500</v>
      </c>
      <c r="F275" s="187"/>
      <c r="G275" s="381"/>
      <c r="L275" s="1733">
        <v>4500</v>
      </c>
    </row>
    <row r="276" spans="2:12" s="51" customFormat="1" ht="15" customHeight="1">
      <c r="B276" s="184">
        <f t="shared" si="13"/>
        <v>11</v>
      </c>
      <c r="C276" s="172" t="s">
        <v>228</v>
      </c>
      <c r="D276" s="173" t="s">
        <v>7</v>
      </c>
      <c r="E276" s="1733">
        <v>40000</v>
      </c>
      <c r="F276" s="187"/>
      <c r="G276" s="376"/>
      <c r="L276" s="1733">
        <v>40000</v>
      </c>
    </row>
    <row r="277" spans="2:12" s="20" customFormat="1" ht="15" customHeight="1">
      <c r="B277" s="184">
        <f t="shared" si="13"/>
        <v>12</v>
      </c>
      <c r="C277" s="172" t="s">
        <v>229</v>
      </c>
      <c r="D277" s="173" t="s">
        <v>7</v>
      </c>
      <c r="E277" s="1733">
        <v>2097900</v>
      </c>
      <c r="F277" s="187"/>
      <c r="G277" s="380"/>
      <c r="L277" s="1733">
        <v>2097900</v>
      </c>
    </row>
    <row r="278" spans="2:12" ht="15" customHeight="1">
      <c r="B278" s="184">
        <f t="shared" si="13"/>
        <v>13</v>
      </c>
      <c r="C278" s="172" t="s">
        <v>756</v>
      </c>
      <c r="D278" s="173" t="s">
        <v>7</v>
      </c>
      <c r="E278" s="1733">
        <v>595000</v>
      </c>
      <c r="F278" s="187"/>
      <c r="L278" s="1733">
        <v>595000</v>
      </c>
    </row>
    <row r="279" spans="2:12" s="20" customFormat="1" ht="15" customHeight="1">
      <c r="B279" s="184">
        <f t="shared" si="13"/>
        <v>14</v>
      </c>
      <c r="C279" s="194" t="s">
        <v>771</v>
      </c>
      <c r="D279" s="195" t="s">
        <v>7</v>
      </c>
      <c r="E279" s="1733">
        <v>245000</v>
      </c>
      <c r="F279" s="196"/>
      <c r="G279" s="380"/>
      <c r="L279" s="1733">
        <v>245000</v>
      </c>
    </row>
    <row r="280" spans="2:12" s="20" customFormat="1" ht="15" customHeight="1">
      <c r="B280" s="184">
        <f t="shared" si="13"/>
        <v>15</v>
      </c>
      <c r="C280" s="372" t="s">
        <v>727</v>
      </c>
      <c r="D280" s="373" t="str">
        <f>D279</f>
        <v>bh</v>
      </c>
      <c r="E280" s="1755">
        <v>435000</v>
      </c>
      <c r="F280" s="232"/>
      <c r="G280" s="380"/>
      <c r="L280" s="1755">
        <v>435000</v>
      </c>
    </row>
    <row r="281" spans="2:12" ht="15" customHeight="1">
      <c r="B281" s="860">
        <f t="shared" si="13"/>
        <v>16</v>
      </c>
      <c r="C281" s="861" t="s">
        <v>623</v>
      </c>
      <c r="D281" s="862" t="s">
        <v>283</v>
      </c>
      <c r="E281" s="1756">
        <v>400000</v>
      </c>
      <c r="F281" s="863"/>
      <c r="G281" s="381"/>
      <c r="L281" s="1756">
        <v>400000</v>
      </c>
    </row>
    <row r="282" spans="2:12" ht="15" customHeight="1">
      <c r="B282" s="864"/>
      <c r="C282" s="865"/>
      <c r="D282" s="866"/>
      <c r="E282" s="1745"/>
      <c r="F282" s="867"/>
      <c r="L282" s="1745"/>
    </row>
    <row r="283" spans="2:12" ht="15" customHeight="1">
      <c r="B283" s="856"/>
      <c r="C283" s="857" t="s">
        <v>47</v>
      </c>
      <c r="D283" s="858"/>
      <c r="E283" s="1757"/>
      <c r="F283" s="859"/>
      <c r="L283" s="1757"/>
    </row>
    <row r="284" spans="2:12" s="20" customFormat="1" ht="15" customHeight="1">
      <c r="B284" s="184">
        <v>1</v>
      </c>
      <c r="C284" s="172" t="s">
        <v>167</v>
      </c>
      <c r="D284" s="195" t="s">
        <v>13</v>
      </c>
      <c r="E284" s="1758">
        <v>58000</v>
      </c>
      <c r="F284" s="196"/>
      <c r="G284" s="377"/>
      <c r="L284" s="1758">
        <f>L286*40</f>
        <v>58000</v>
      </c>
    </row>
    <row r="285" spans="2:12" s="52" customFormat="1" ht="15" customHeight="1">
      <c r="B285" s="184">
        <v>2</v>
      </c>
      <c r="C285" s="172" t="s">
        <v>230</v>
      </c>
      <c r="D285" s="195" t="s">
        <v>14</v>
      </c>
      <c r="E285" s="1733">
        <v>18000</v>
      </c>
      <c r="F285" s="196"/>
      <c r="G285" s="377"/>
      <c r="L285" s="1733">
        <v>18000</v>
      </c>
    </row>
    <row r="286" spans="2:12" s="52" customFormat="1" ht="15" customHeight="1">
      <c r="B286" s="184">
        <v>3</v>
      </c>
      <c r="C286" s="172" t="s">
        <v>87</v>
      </c>
      <c r="D286" s="195" t="s">
        <v>268</v>
      </c>
      <c r="E286" s="1733">
        <v>1450</v>
      </c>
      <c r="F286" s="196"/>
      <c r="G286" s="377"/>
      <c r="L286" s="1733">
        <v>1450</v>
      </c>
    </row>
    <row r="287" spans="2:12" s="51" customFormat="1" ht="15" customHeight="1">
      <c r="B287" s="184"/>
      <c r="C287" s="172"/>
      <c r="D287" s="201"/>
      <c r="E287" s="1759"/>
      <c r="F287" s="202"/>
      <c r="G287" s="376"/>
      <c r="H287" s="334"/>
      <c r="L287" s="1759"/>
    </row>
    <row r="288" spans="2:12" ht="15" customHeight="1">
      <c r="B288" s="215"/>
      <c r="C288" s="216" t="s">
        <v>122</v>
      </c>
      <c r="D288" s="192"/>
      <c r="E288" s="1760"/>
      <c r="F288" s="193"/>
      <c r="L288" s="1760"/>
    </row>
    <row r="289" spans="2:12" s="4" customFormat="1" ht="15" customHeight="1">
      <c r="B289" s="217">
        <v>1</v>
      </c>
      <c r="C289" s="218" t="s">
        <v>284</v>
      </c>
      <c r="D289" s="192"/>
      <c r="E289" s="1760">
        <v>240450</v>
      </c>
      <c r="F289" s="193"/>
      <c r="G289" s="376"/>
      <c r="L289" s="1760">
        <v>240450</v>
      </c>
    </row>
    <row r="290" spans="2:12" s="340" customFormat="1" ht="15" customHeight="1">
      <c r="B290" s="217">
        <f>B289+1</f>
        <v>2</v>
      </c>
      <c r="C290" s="219" t="s">
        <v>251</v>
      </c>
      <c r="D290" s="192" t="s">
        <v>20</v>
      </c>
      <c r="E290" s="1733">
        <v>8000</v>
      </c>
      <c r="F290" s="193"/>
      <c r="G290" s="377"/>
      <c r="L290" s="1733">
        <v>8000</v>
      </c>
    </row>
    <row r="291" spans="2:12" s="339" customFormat="1" ht="15" customHeight="1">
      <c r="B291" s="217">
        <f t="shared" ref="B291:B294" si="14">B290+1</f>
        <v>3</v>
      </c>
      <c r="C291" s="219" t="s">
        <v>252</v>
      </c>
      <c r="D291" s="192" t="s">
        <v>20</v>
      </c>
      <c r="E291" s="1733">
        <v>10000</v>
      </c>
      <c r="F291" s="193"/>
      <c r="G291" s="377"/>
      <c r="L291" s="1733">
        <v>10000</v>
      </c>
    </row>
    <row r="292" spans="2:12" s="340" customFormat="1" ht="15" customHeight="1">
      <c r="B292" s="217">
        <f t="shared" si="14"/>
        <v>4</v>
      </c>
      <c r="C292" s="219" t="s">
        <v>253</v>
      </c>
      <c r="D292" s="192" t="s">
        <v>20</v>
      </c>
      <c r="E292" s="1733">
        <v>49500</v>
      </c>
      <c r="F292" s="193"/>
      <c r="G292" s="377"/>
      <c r="L292" s="1733">
        <v>49500</v>
      </c>
    </row>
    <row r="293" spans="2:12" s="100" customFormat="1" ht="15" customHeight="1">
      <c r="B293" s="217">
        <f t="shared" si="14"/>
        <v>5</v>
      </c>
      <c r="C293" s="219" t="s">
        <v>254</v>
      </c>
      <c r="D293" s="192" t="s">
        <v>20</v>
      </c>
      <c r="E293" s="1733">
        <v>60233</v>
      </c>
      <c r="F293" s="193"/>
      <c r="G293" s="376"/>
      <c r="L293" s="1733">
        <v>60233</v>
      </c>
    </row>
    <row r="294" spans="2:12" s="340" customFormat="1" ht="15" customHeight="1">
      <c r="B294" s="217">
        <f t="shared" si="14"/>
        <v>6</v>
      </c>
      <c r="C294" s="219" t="s">
        <v>255</v>
      </c>
      <c r="D294" s="192" t="s">
        <v>20</v>
      </c>
      <c r="E294" s="1733">
        <v>102750</v>
      </c>
      <c r="F294" s="193"/>
      <c r="G294" s="377"/>
      <c r="L294" s="1733">
        <v>102750</v>
      </c>
    </row>
    <row r="295" spans="2:12" s="340" customFormat="1" ht="15" customHeight="1">
      <c r="B295" s="750"/>
      <c r="C295" s="219" t="s">
        <v>1013</v>
      </c>
      <c r="D295" s="751" t="str">
        <f>D292</f>
        <v>m'</v>
      </c>
      <c r="E295" s="1728">
        <v>104667.5</v>
      </c>
      <c r="F295" s="752"/>
      <c r="G295" s="377"/>
      <c r="L295" s="1728">
        <v>104667.5</v>
      </c>
    </row>
    <row r="296" spans="2:12" s="340" customFormat="1" ht="15" customHeight="1">
      <c r="B296" s="750"/>
      <c r="C296" s="219" t="s">
        <v>1014</v>
      </c>
      <c r="D296" s="751" t="str">
        <f>D295</f>
        <v>m'</v>
      </c>
      <c r="E296" s="1761">
        <v>157595</v>
      </c>
      <c r="F296" s="752"/>
      <c r="G296" s="377"/>
      <c r="L296" s="1761">
        <v>157595</v>
      </c>
    </row>
    <row r="297" spans="2:12" s="340" customFormat="1" ht="15" customHeight="1">
      <c r="B297" s="750"/>
      <c r="C297" s="219" t="s">
        <v>1008</v>
      </c>
      <c r="D297" s="751" t="str">
        <f>D294</f>
        <v>m'</v>
      </c>
      <c r="E297" s="1728">
        <v>240215</v>
      </c>
      <c r="F297" s="752"/>
      <c r="G297" s="377"/>
      <c r="L297" s="1728">
        <v>240215</v>
      </c>
    </row>
    <row r="298" spans="2:12" s="340" customFormat="1" ht="15" customHeight="1">
      <c r="B298" s="750"/>
      <c r="C298" s="219" t="s">
        <v>1009</v>
      </c>
      <c r="D298" s="751" t="str">
        <f>D297</f>
        <v>m'</v>
      </c>
      <c r="E298" s="1761">
        <v>342257.5</v>
      </c>
      <c r="F298" s="752"/>
      <c r="G298" s="377"/>
      <c r="L298" s="1761">
        <v>342257.5</v>
      </c>
    </row>
    <row r="299" spans="2:12" s="4" customFormat="1" ht="15" customHeight="1">
      <c r="B299" s="240"/>
      <c r="C299" s="241"/>
      <c r="D299" s="242"/>
      <c r="E299" s="1762"/>
      <c r="F299" s="243"/>
      <c r="G299" s="376"/>
      <c r="L299" s="1762"/>
    </row>
    <row r="300" spans="2:12" s="4" customFormat="1" ht="15" customHeight="1">
      <c r="B300" s="217"/>
      <c r="C300" s="220" t="s">
        <v>149</v>
      </c>
      <c r="D300" s="192"/>
      <c r="E300" s="1760"/>
      <c r="F300" s="193"/>
      <c r="G300" s="376"/>
      <c r="L300" s="1760"/>
    </row>
    <row r="301" spans="2:12" s="4" customFormat="1" ht="15" customHeight="1">
      <c r="B301" s="217">
        <v>1</v>
      </c>
      <c r="C301" s="219" t="s">
        <v>143</v>
      </c>
      <c r="D301" s="192" t="s">
        <v>7</v>
      </c>
      <c r="E301" s="1760">
        <v>21000</v>
      </c>
      <c r="F301" s="193"/>
      <c r="G301" s="376"/>
      <c r="L301" s="1760">
        <v>21000</v>
      </c>
    </row>
    <row r="302" spans="2:12" s="4" customFormat="1" ht="15" customHeight="1">
      <c r="B302" s="217"/>
      <c r="C302" s="219"/>
      <c r="D302" s="221"/>
      <c r="E302" s="1760"/>
      <c r="F302" s="222"/>
      <c r="G302" s="376"/>
      <c r="L302" s="1760"/>
    </row>
    <row r="303" spans="2:12" s="4" customFormat="1" ht="15" customHeight="1">
      <c r="B303" s="217"/>
      <c r="C303" s="223" t="s">
        <v>256</v>
      </c>
      <c r="D303" s="192"/>
      <c r="E303" s="1760"/>
      <c r="F303" s="193"/>
      <c r="G303" s="376"/>
      <c r="L303" s="1760"/>
    </row>
    <row r="304" spans="2:12" s="4" customFormat="1" ht="15" customHeight="1">
      <c r="B304" s="217">
        <v>1</v>
      </c>
      <c r="C304" s="219" t="s">
        <v>258</v>
      </c>
      <c r="D304" s="221" t="s">
        <v>103</v>
      </c>
      <c r="E304" s="1760">
        <v>256730</v>
      </c>
      <c r="F304" s="222"/>
      <c r="G304" s="376"/>
      <c r="L304" s="1760">
        <v>256730</v>
      </c>
    </row>
    <row r="305" spans="2:12" s="4" customFormat="1" ht="15" customHeight="1">
      <c r="B305" s="217">
        <f>B304+1</f>
        <v>2</v>
      </c>
      <c r="C305" s="219" t="s">
        <v>257</v>
      </c>
      <c r="D305" s="221" t="s">
        <v>103</v>
      </c>
      <c r="E305" s="1760">
        <v>263900</v>
      </c>
      <c r="F305" s="222"/>
      <c r="G305" s="376"/>
      <c r="L305" s="1760">
        <v>263900</v>
      </c>
    </row>
    <row r="306" spans="2:12" s="4" customFormat="1" ht="15" customHeight="1">
      <c r="B306" s="217">
        <f>B305+1</f>
        <v>3</v>
      </c>
      <c r="C306" s="219" t="s">
        <v>259</v>
      </c>
      <c r="D306" s="221" t="s">
        <v>103</v>
      </c>
      <c r="E306" s="1760">
        <v>299870</v>
      </c>
      <c r="F306" s="222"/>
      <c r="G306" s="376"/>
      <c r="L306" s="1760">
        <v>299870</v>
      </c>
    </row>
    <row r="307" spans="2:12" s="4" customFormat="1" ht="15" customHeight="1">
      <c r="B307" s="217">
        <f>B306+1</f>
        <v>4</v>
      </c>
      <c r="C307" s="219" t="s">
        <v>260</v>
      </c>
      <c r="D307" s="195" t="s">
        <v>103</v>
      </c>
      <c r="E307" s="1733">
        <v>80519</v>
      </c>
      <c r="F307" s="196"/>
      <c r="G307" s="376"/>
      <c r="L307" s="1733">
        <v>80519</v>
      </c>
    </row>
    <row r="308" spans="2:12" s="4" customFormat="1" ht="15" customHeight="1">
      <c r="B308" s="205">
        <v>5</v>
      </c>
      <c r="C308" s="156" t="s">
        <v>622</v>
      </c>
      <c r="D308" s="157" t="s">
        <v>3</v>
      </c>
      <c r="E308" s="1743">
        <v>75000</v>
      </c>
      <c r="F308" s="224"/>
      <c r="G308" s="376"/>
      <c r="L308" s="1743">
        <v>75000</v>
      </c>
    </row>
    <row r="309" spans="2:12" s="4" customFormat="1" ht="15" customHeight="1">
      <c r="B309" s="113"/>
      <c r="C309" s="843" t="s">
        <v>996</v>
      </c>
      <c r="D309" s="841"/>
      <c r="E309" s="1763"/>
      <c r="F309" s="746"/>
      <c r="G309" s="376"/>
      <c r="L309" s="1763"/>
    </row>
    <row r="310" spans="2:12" s="4" customFormat="1" ht="15" customHeight="1">
      <c r="B310" s="217">
        <v>1</v>
      </c>
      <c r="C310" s="219" t="s">
        <v>1031</v>
      </c>
      <c r="D310" s="841" t="s">
        <v>7</v>
      </c>
      <c r="E310" s="1764">
        <v>1635000</v>
      </c>
      <c r="F310" s="746"/>
      <c r="G310" s="376"/>
      <c r="L310" s="1764">
        <v>1635000</v>
      </c>
    </row>
    <row r="311" spans="2:12" s="4" customFormat="1" ht="15" customHeight="1">
      <c r="B311" s="217">
        <f>B310+1</f>
        <v>2</v>
      </c>
      <c r="C311" s="219" t="s">
        <v>1032</v>
      </c>
      <c r="D311" s="841" t="str">
        <f>D310</f>
        <v>bh</v>
      </c>
      <c r="E311" s="1760">
        <v>424000</v>
      </c>
      <c r="F311" s="746"/>
      <c r="G311" s="376"/>
      <c r="L311" s="1760">
        <v>424000</v>
      </c>
    </row>
    <row r="312" spans="2:12" s="4" customFormat="1" ht="15" customHeight="1">
      <c r="B312" s="217">
        <f>B311+1</f>
        <v>3</v>
      </c>
      <c r="C312" s="219" t="s">
        <v>1033</v>
      </c>
      <c r="D312" s="841" t="str">
        <f>D311</f>
        <v>bh</v>
      </c>
      <c r="E312" s="1760">
        <v>125000</v>
      </c>
      <c r="F312" s="746"/>
      <c r="G312" s="376"/>
      <c r="L312" s="1760">
        <v>125000</v>
      </c>
    </row>
    <row r="313" spans="2:12" s="4" customFormat="1" ht="15" customHeight="1">
      <c r="B313" s="1700"/>
      <c r="C313" s="843" t="s">
        <v>1068</v>
      </c>
      <c r="D313" s="1708"/>
      <c r="E313" s="1760"/>
      <c r="F313" s="1709"/>
      <c r="G313" s="376"/>
      <c r="L313" s="1760"/>
    </row>
    <row r="314" spans="2:12" s="4" customFormat="1" ht="15" customHeight="1">
      <c r="B314" s="217">
        <v>1</v>
      </c>
      <c r="C314" s="219" t="s">
        <v>538</v>
      </c>
      <c r="D314" s="1708" t="s">
        <v>7</v>
      </c>
      <c r="E314" s="1760">
        <v>125000</v>
      </c>
      <c r="F314" s="1709"/>
      <c r="G314" s="376"/>
      <c r="L314" s="1760">
        <v>125000</v>
      </c>
    </row>
    <row r="315" spans="2:12" s="4" customFormat="1" ht="15" customHeight="1">
      <c r="B315" s="217">
        <v>2</v>
      </c>
      <c r="C315" s="219" t="s">
        <v>539</v>
      </c>
      <c r="D315" s="1708" t="s">
        <v>7</v>
      </c>
      <c r="E315" s="1760">
        <v>15000</v>
      </c>
      <c r="F315" s="1709"/>
      <c r="G315" s="376"/>
      <c r="L315" s="1760">
        <v>15000</v>
      </c>
    </row>
    <row r="316" spans="2:12" s="4" customFormat="1" ht="15" customHeight="1">
      <c r="B316" s="217">
        <v>3</v>
      </c>
      <c r="C316" s="219" t="s">
        <v>535</v>
      </c>
      <c r="D316" s="1708" t="s">
        <v>266</v>
      </c>
      <c r="E316" s="1760">
        <v>104667.5</v>
      </c>
      <c r="F316" s="1709"/>
      <c r="G316" s="376"/>
      <c r="L316" s="1760">
        <v>104667.5</v>
      </c>
    </row>
    <row r="317" spans="2:12" s="4" customFormat="1" ht="15" customHeight="1">
      <c r="B317" s="217">
        <v>4</v>
      </c>
      <c r="C317" s="219" t="s">
        <v>540</v>
      </c>
      <c r="D317" s="1708" t="s">
        <v>266</v>
      </c>
      <c r="E317" s="1760">
        <v>80000</v>
      </c>
      <c r="F317" s="1709"/>
      <c r="G317" s="376"/>
      <c r="L317" s="1760">
        <v>80000</v>
      </c>
    </row>
    <row r="318" spans="2:12" s="4" customFormat="1" ht="15" customHeight="1">
      <c r="B318" s="217">
        <v>5</v>
      </c>
      <c r="C318" s="219" t="s">
        <v>541</v>
      </c>
      <c r="D318" s="1708" t="s">
        <v>7</v>
      </c>
      <c r="E318" s="1760">
        <v>2220</v>
      </c>
      <c r="F318" s="1709"/>
      <c r="G318" s="376"/>
      <c r="L318" s="1760">
        <v>2220</v>
      </c>
    </row>
    <row r="319" spans="2:12" s="4" customFormat="1" ht="15" customHeight="1">
      <c r="B319" s="217">
        <v>6</v>
      </c>
      <c r="C319" s="219" t="s">
        <v>542</v>
      </c>
      <c r="D319" s="1708" t="s">
        <v>7</v>
      </c>
      <c r="E319" s="1760">
        <v>17000</v>
      </c>
      <c r="F319" s="1709"/>
      <c r="G319" s="376"/>
      <c r="L319" s="1760">
        <v>17000</v>
      </c>
    </row>
    <row r="320" spans="2:12" s="4" customFormat="1" ht="15" customHeight="1">
      <c r="B320" s="217">
        <v>7</v>
      </c>
      <c r="C320" s="219" t="s">
        <v>543</v>
      </c>
      <c r="D320" s="1708" t="s">
        <v>7</v>
      </c>
      <c r="E320" s="1760">
        <v>55000</v>
      </c>
      <c r="F320" s="1709"/>
      <c r="G320" s="376"/>
      <c r="L320" s="1760">
        <v>55000</v>
      </c>
    </row>
    <row r="321" spans="1:12" s="4" customFormat="1" ht="15" customHeight="1">
      <c r="B321" s="217">
        <v>8</v>
      </c>
      <c r="C321" s="219" t="s">
        <v>544</v>
      </c>
      <c r="D321" s="1708" t="s">
        <v>7</v>
      </c>
      <c r="E321" s="1760">
        <v>4000</v>
      </c>
      <c r="F321" s="1709"/>
      <c r="G321" s="376"/>
      <c r="L321" s="1760">
        <v>4000</v>
      </c>
    </row>
    <row r="322" spans="1:12" s="4" customFormat="1" ht="15" customHeight="1">
      <c r="B322" s="217">
        <v>9</v>
      </c>
      <c r="C322" s="219" t="s">
        <v>545</v>
      </c>
      <c r="D322" s="1708" t="s">
        <v>272</v>
      </c>
      <c r="E322" s="1760">
        <v>36000</v>
      </c>
      <c r="F322" s="1709"/>
      <c r="G322" s="376"/>
      <c r="L322" s="1760">
        <v>36000</v>
      </c>
    </row>
    <row r="323" spans="1:12" s="4" customFormat="1" ht="15" customHeight="1" thickBot="1">
      <c r="B323" s="225"/>
      <c r="C323" s="226"/>
      <c r="D323" s="842"/>
      <c r="E323" s="227"/>
      <c r="F323" s="228"/>
      <c r="G323" s="11"/>
      <c r="L323" s="1785"/>
    </row>
    <row r="324" spans="1:12" s="12" customFormat="1" ht="16.149999999999999" customHeight="1" thickTop="1">
      <c r="A324" s="8"/>
      <c r="B324" s="16"/>
      <c r="C324" s="15"/>
      <c r="D324" s="16"/>
      <c r="E324" s="123"/>
      <c r="F324" s="16"/>
      <c r="G324" s="11"/>
    </row>
    <row r="325" spans="1:12" s="12" customFormat="1" ht="16.149999999999999" customHeight="1">
      <c r="A325" s="8"/>
      <c r="B325" s="109"/>
      <c r="C325" s="1792" t="s">
        <v>1071</v>
      </c>
      <c r="D325" s="109"/>
      <c r="F325" s="1792"/>
      <c r="G325" s="11"/>
    </row>
    <row r="326" spans="1:12" s="12" customFormat="1" ht="16.149999999999999" customHeight="1">
      <c r="A326" s="8"/>
      <c r="B326" s="16"/>
      <c r="C326" s="1792" t="s">
        <v>686</v>
      </c>
      <c r="D326" s="119"/>
      <c r="F326" s="1792"/>
      <c r="G326" s="11"/>
    </row>
    <row r="327" spans="1:12" s="12" customFormat="1" ht="16.149999999999999" customHeight="1">
      <c r="A327" s="8"/>
      <c r="B327" s="16"/>
      <c r="C327" s="1792" t="s">
        <v>687</v>
      </c>
      <c r="D327" s="118"/>
      <c r="F327" s="1792"/>
      <c r="G327" s="11"/>
    </row>
    <row r="328" spans="1:12" s="12" customFormat="1" ht="16.149999999999999" customHeight="1">
      <c r="A328" s="8"/>
      <c r="B328" s="16"/>
      <c r="C328" s="1792" t="s">
        <v>688</v>
      </c>
      <c r="D328" s="109"/>
      <c r="F328" s="1792"/>
      <c r="G328" s="11"/>
    </row>
    <row r="329" spans="1:12" s="12" customFormat="1" ht="16.149999999999999" customHeight="1">
      <c r="A329" s="8"/>
      <c r="B329" s="16"/>
      <c r="C329" s="1792"/>
      <c r="D329" s="109"/>
      <c r="F329" s="1792"/>
      <c r="G329" s="11"/>
    </row>
    <row r="330" spans="1:12" s="12" customFormat="1" ht="16.149999999999999" customHeight="1">
      <c r="A330" s="8"/>
      <c r="B330" s="16"/>
      <c r="C330" s="1792"/>
      <c r="D330" s="109"/>
      <c r="F330" s="1792"/>
      <c r="G330" s="11"/>
    </row>
    <row r="331" spans="1:12" s="12" customFormat="1" ht="16.149999999999999" customHeight="1">
      <c r="A331" s="8"/>
      <c r="B331" s="16"/>
      <c r="C331" s="1792"/>
      <c r="D331" s="109"/>
      <c r="F331" s="1792"/>
      <c r="G331" s="11"/>
    </row>
    <row r="332" spans="1:12" s="12" customFormat="1" ht="16.149999999999999" customHeight="1">
      <c r="A332" s="8"/>
      <c r="B332" s="16"/>
      <c r="C332" s="1792"/>
      <c r="D332" s="120"/>
      <c r="F332" s="1792"/>
      <c r="G332" s="11"/>
    </row>
    <row r="333" spans="1:12" s="12" customFormat="1" ht="16.149999999999999" customHeight="1">
      <c r="A333" s="8"/>
      <c r="B333" s="16"/>
      <c r="C333" s="1794" t="s">
        <v>689</v>
      </c>
      <c r="D333" s="118"/>
      <c r="F333" s="1794"/>
      <c r="G333" s="11"/>
    </row>
    <row r="334" spans="1:12" s="12" customFormat="1" ht="16.149999999999999" customHeight="1">
      <c r="A334" s="8"/>
      <c r="B334" s="16"/>
      <c r="C334" s="1792" t="s">
        <v>690</v>
      </c>
      <c r="D334" s="16"/>
      <c r="F334" s="1792"/>
      <c r="G334" s="11"/>
    </row>
    <row r="335" spans="1:12" s="12" customFormat="1" ht="16.149999999999999" customHeight="1">
      <c r="A335" s="8"/>
      <c r="B335" s="16"/>
      <c r="C335" s="15"/>
      <c r="D335" s="16"/>
      <c r="E335" s="123"/>
      <c r="F335" s="16"/>
      <c r="G335" s="11"/>
    </row>
    <row r="336" spans="1:12" s="12" customFormat="1" ht="16.149999999999999" customHeight="1">
      <c r="A336" s="8"/>
      <c r="B336" s="17"/>
      <c r="C336" s="17"/>
      <c r="D336" s="17"/>
      <c r="E336" s="124"/>
      <c r="F336" s="17"/>
      <c r="G336" s="11"/>
    </row>
    <row r="337" spans="2:7" customFormat="1" ht="16.149999999999999" customHeight="1">
      <c r="B337" s="14"/>
      <c r="C337" s="14"/>
      <c r="D337" s="14"/>
      <c r="E337" s="125"/>
      <c r="F337" s="14"/>
      <c r="G337" s="376"/>
    </row>
    <row r="338" spans="2:7" ht="15.75" customHeight="1"/>
  </sheetData>
  <mergeCells count="2">
    <mergeCell ref="B2:F2"/>
    <mergeCell ref="B3:F3"/>
  </mergeCells>
  <printOptions horizontalCentered="1"/>
  <pageMargins left="1.1811023622047201" right="0.53740157499999996" top="0.78740157480314998" bottom="0.71850393700000004" header="0.511811023622047" footer="0.78740157480314998"/>
  <pageSetup paperSize="9" scale="80" orientation="portrait" horizontalDpi="4294967293" verticalDpi="300" r:id="rId1"/>
  <headerFooter alignWithMargins="0"/>
  <rowBreaks count="5" manualBreakCount="5">
    <brk id="63" min="1" max="5" man="1"/>
    <brk id="112" min="1" max="5" man="1"/>
    <brk id="175" min="1" max="5" man="1"/>
    <brk id="232" min="1" max="5" man="1"/>
    <brk id="282" min="1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72"/>
  <sheetViews>
    <sheetView showGridLines="0" view="pageBreakPreview" topLeftCell="C41" zoomScale="110" zoomScaleSheetLayoutView="110" workbookViewId="0">
      <selection activeCell="H59" sqref="H59"/>
    </sheetView>
  </sheetViews>
  <sheetFormatPr defaultColWidth="9" defaultRowHeight="16.5"/>
  <cols>
    <col min="1" max="1" width="3" style="2" customWidth="1"/>
    <col min="2" max="2" width="7.5" style="14" customWidth="1"/>
    <col min="3" max="3" width="45.25" style="14" customWidth="1"/>
    <col min="4" max="4" width="8.75" style="14" customWidth="1"/>
    <col min="5" max="5" width="7" style="14" customWidth="1"/>
    <col min="6" max="6" width="15" style="14" customWidth="1"/>
    <col min="7" max="7" width="14.625" style="14" customWidth="1"/>
    <col min="8" max="8" width="10.875" style="2" bestFit="1" customWidth="1"/>
    <col min="9" max="9" width="11.25" style="2" customWidth="1"/>
    <col min="10" max="16384" width="9" style="2"/>
  </cols>
  <sheetData>
    <row r="2" spans="2:9" ht="18">
      <c r="B2" s="1892" t="s">
        <v>131</v>
      </c>
      <c r="C2" s="1892"/>
      <c r="D2" s="1892"/>
      <c r="E2" s="1892"/>
      <c r="F2" s="1892"/>
      <c r="G2" s="1892"/>
    </row>
    <row r="3" spans="2:9" ht="18">
      <c r="B3" s="1892" t="s">
        <v>1030</v>
      </c>
      <c r="C3" s="1892"/>
      <c r="D3" s="1892"/>
      <c r="E3" s="1892"/>
      <c r="F3" s="1892"/>
      <c r="G3" s="1892"/>
    </row>
    <row r="4" spans="2:9" ht="14.25" customHeight="1" thickBot="1">
      <c r="B4" s="244"/>
      <c r="C4" s="244"/>
      <c r="D4" s="244"/>
      <c r="E4" s="244"/>
      <c r="F4" s="244"/>
      <c r="G4" s="244"/>
    </row>
    <row r="5" spans="2:9" ht="14.25" customHeight="1" thickTop="1">
      <c r="B5" s="245" t="s">
        <v>0</v>
      </c>
      <c r="C5" s="246" t="s">
        <v>65</v>
      </c>
      <c r="D5" s="246" t="s">
        <v>66</v>
      </c>
      <c r="E5" s="246" t="s">
        <v>1</v>
      </c>
      <c r="F5" s="247" t="s">
        <v>133</v>
      </c>
      <c r="G5" s="1893" t="s">
        <v>113</v>
      </c>
    </row>
    <row r="6" spans="2:9" ht="14.25" customHeight="1" thickBot="1">
      <c r="B6" s="248">
        <v>1</v>
      </c>
      <c r="C6" s="249">
        <v>2</v>
      </c>
      <c r="D6" s="249">
        <v>3</v>
      </c>
      <c r="E6" s="249">
        <v>4</v>
      </c>
      <c r="F6" s="250">
        <v>5</v>
      </c>
      <c r="G6" s="1894"/>
    </row>
    <row r="7" spans="2:9" ht="14.25" customHeight="1" thickTop="1">
      <c r="B7" s="251"/>
      <c r="C7" s="252"/>
      <c r="D7" s="253"/>
      <c r="E7" s="254"/>
      <c r="F7" s="255"/>
      <c r="G7" s="832"/>
    </row>
    <row r="8" spans="2:9" s="52" customFormat="1" ht="14.25" customHeight="1">
      <c r="B8" s="256">
        <v>1</v>
      </c>
      <c r="C8" s="257" t="s">
        <v>50</v>
      </c>
      <c r="D8" s="258"/>
      <c r="E8" s="259" t="s">
        <v>51</v>
      </c>
      <c r="F8" s="1710">
        <v>170000</v>
      </c>
      <c r="G8" s="833"/>
      <c r="I8" s="260">
        <v>172500</v>
      </c>
    </row>
    <row r="9" spans="2:9" ht="14.25" customHeight="1">
      <c r="B9" s="256">
        <f>B8+1</f>
        <v>2</v>
      </c>
      <c r="C9" s="257" t="s">
        <v>55</v>
      </c>
      <c r="D9" s="258"/>
      <c r="E9" s="259" t="s">
        <v>51</v>
      </c>
      <c r="F9" s="1710">
        <v>200000</v>
      </c>
      <c r="G9" s="833"/>
      <c r="I9" s="260">
        <v>202500</v>
      </c>
    </row>
    <row r="10" spans="2:9" s="51" customFormat="1" ht="14.25" customHeight="1">
      <c r="B10" s="256">
        <f>B9+1</f>
        <v>3</v>
      </c>
      <c r="C10" s="257" t="s">
        <v>271</v>
      </c>
      <c r="D10" s="258"/>
      <c r="E10" s="259" t="s">
        <v>51</v>
      </c>
      <c r="F10" s="1711">
        <v>150000</v>
      </c>
      <c r="G10" s="833"/>
      <c r="I10" s="261">
        <v>157500</v>
      </c>
    </row>
    <row r="11" spans="2:9" ht="14.25" customHeight="1">
      <c r="B11" s="256">
        <f t="shared" ref="B11:B26" si="0">B10+1</f>
        <v>4</v>
      </c>
      <c r="C11" s="257" t="s">
        <v>53</v>
      </c>
      <c r="D11" s="258"/>
      <c r="E11" s="259" t="s">
        <v>51</v>
      </c>
      <c r="F11" s="1710">
        <v>180000</v>
      </c>
      <c r="G11" s="833"/>
      <c r="I11" s="260">
        <v>187500</v>
      </c>
    </row>
    <row r="12" spans="2:9" ht="14.25" customHeight="1">
      <c r="B12" s="256">
        <f>B11+1</f>
        <v>5</v>
      </c>
      <c r="C12" s="257" t="s">
        <v>249</v>
      </c>
      <c r="D12" s="258"/>
      <c r="E12" s="259" t="s">
        <v>51</v>
      </c>
      <c r="F12" s="1711">
        <v>150000</v>
      </c>
      <c r="G12" s="833"/>
      <c r="I12" s="260">
        <v>157500</v>
      </c>
    </row>
    <row r="13" spans="2:9" ht="14.25" customHeight="1">
      <c r="B13" s="256">
        <f t="shared" si="0"/>
        <v>6</v>
      </c>
      <c r="C13" s="257" t="s">
        <v>248</v>
      </c>
      <c r="D13" s="258"/>
      <c r="E13" s="259" t="s">
        <v>51</v>
      </c>
      <c r="F13" s="1711">
        <v>150000</v>
      </c>
      <c r="G13" s="833"/>
      <c r="I13" s="260">
        <v>157500</v>
      </c>
    </row>
    <row r="14" spans="2:9" ht="14.25" customHeight="1">
      <c r="B14" s="256">
        <f t="shared" si="0"/>
        <v>7</v>
      </c>
      <c r="C14" s="257" t="s">
        <v>63</v>
      </c>
      <c r="D14" s="258"/>
      <c r="E14" s="259" t="s">
        <v>51</v>
      </c>
      <c r="F14" s="1711">
        <v>150000</v>
      </c>
      <c r="G14" s="833"/>
      <c r="I14" s="260">
        <v>157500</v>
      </c>
    </row>
    <row r="15" spans="2:9" s="51" customFormat="1" ht="14.25" customHeight="1">
      <c r="B15" s="256">
        <f t="shared" si="0"/>
        <v>8</v>
      </c>
      <c r="C15" s="257" t="s">
        <v>52</v>
      </c>
      <c r="D15" s="258"/>
      <c r="E15" s="259" t="s">
        <v>51</v>
      </c>
      <c r="F15" s="1710">
        <v>140000</v>
      </c>
      <c r="G15" s="833"/>
      <c r="I15" s="260">
        <v>142500</v>
      </c>
    </row>
    <row r="16" spans="2:9" ht="14.25" customHeight="1">
      <c r="B16" s="256">
        <f t="shared" si="0"/>
        <v>9</v>
      </c>
      <c r="C16" s="257" t="s">
        <v>58</v>
      </c>
      <c r="D16" s="258"/>
      <c r="E16" s="259" t="s">
        <v>51</v>
      </c>
      <c r="F16" s="1710">
        <v>140000</v>
      </c>
      <c r="G16" s="833"/>
      <c r="I16" s="260">
        <v>142500</v>
      </c>
    </row>
    <row r="17" spans="1:9" s="20" customFormat="1" ht="14.25" customHeight="1">
      <c r="B17" s="256">
        <f t="shared" si="0"/>
        <v>10</v>
      </c>
      <c r="C17" s="257" t="s">
        <v>54</v>
      </c>
      <c r="D17" s="258"/>
      <c r="E17" s="259" t="s">
        <v>51</v>
      </c>
      <c r="F17" s="1710">
        <v>140000</v>
      </c>
      <c r="G17" s="833"/>
      <c r="I17" s="260">
        <v>142500</v>
      </c>
    </row>
    <row r="18" spans="1:9" s="20" customFormat="1" ht="14.25" customHeight="1">
      <c r="B18" s="256">
        <f t="shared" si="0"/>
        <v>11</v>
      </c>
      <c r="C18" s="257" t="s">
        <v>57</v>
      </c>
      <c r="D18" s="258"/>
      <c r="E18" s="259" t="s">
        <v>51</v>
      </c>
      <c r="F18" s="1710">
        <v>140000</v>
      </c>
      <c r="G18" s="833"/>
      <c r="I18" s="260">
        <v>142500</v>
      </c>
    </row>
    <row r="19" spans="1:9" s="20" customFormat="1" ht="14.25" customHeight="1">
      <c r="B19" s="256">
        <f t="shared" si="0"/>
        <v>12</v>
      </c>
      <c r="C19" s="257" t="s">
        <v>56</v>
      </c>
      <c r="D19" s="258"/>
      <c r="E19" s="259" t="s">
        <v>51</v>
      </c>
      <c r="F19" s="1710">
        <v>140000</v>
      </c>
      <c r="G19" s="833"/>
      <c r="I19" s="260">
        <v>142500</v>
      </c>
    </row>
    <row r="20" spans="1:9" s="20" customFormat="1" ht="14.25" customHeight="1">
      <c r="B20" s="256">
        <f t="shared" si="0"/>
        <v>13</v>
      </c>
      <c r="C20" s="257" t="s">
        <v>59</v>
      </c>
      <c r="D20" s="258"/>
      <c r="E20" s="259" t="s">
        <v>51</v>
      </c>
      <c r="F20" s="1710">
        <v>140000</v>
      </c>
      <c r="G20" s="833"/>
      <c r="I20" s="260">
        <v>142500</v>
      </c>
    </row>
    <row r="21" spans="1:9" ht="14.25" customHeight="1">
      <c r="B21" s="256">
        <f t="shared" si="0"/>
        <v>14</v>
      </c>
      <c r="C21" s="257" t="s">
        <v>58</v>
      </c>
      <c r="D21" s="258"/>
      <c r="E21" s="259" t="s">
        <v>51</v>
      </c>
      <c r="F21" s="1710">
        <v>140000</v>
      </c>
      <c r="G21" s="833"/>
      <c r="I21" s="260">
        <v>142500</v>
      </c>
    </row>
    <row r="22" spans="1:9" ht="14.25" customHeight="1">
      <c r="B22" s="256">
        <f t="shared" si="0"/>
        <v>15</v>
      </c>
      <c r="C22" s="257" t="s">
        <v>60</v>
      </c>
      <c r="D22" s="258"/>
      <c r="E22" s="259" t="s">
        <v>51</v>
      </c>
      <c r="F22" s="1710">
        <v>140000</v>
      </c>
      <c r="G22" s="833"/>
      <c r="I22" s="260">
        <v>142500</v>
      </c>
    </row>
    <row r="23" spans="1:9" ht="14.25" customHeight="1">
      <c r="B23" s="256">
        <f t="shared" si="0"/>
        <v>16</v>
      </c>
      <c r="C23" s="257" t="s">
        <v>62</v>
      </c>
      <c r="D23" s="258"/>
      <c r="E23" s="259" t="s">
        <v>51</v>
      </c>
      <c r="F23" s="1710">
        <v>140000</v>
      </c>
      <c r="G23" s="833"/>
      <c r="I23" s="260">
        <v>142500</v>
      </c>
    </row>
    <row r="24" spans="1:9" ht="14.25" customHeight="1">
      <c r="B24" s="256">
        <f t="shared" si="0"/>
        <v>17</v>
      </c>
      <c r="C24" s="257" t="s">
        <v>247</v>
      </c>
      <c r="D24" s="258"/>
      <c r="E24" s="259" t="s">
        <v>51</v>
      </c>
      <c r="F24" s="1710">
        <v>140000</v>
      </c>
      <c r="G24" s="833"/>
      <c r="I24" s="260">
        <v>142500</v>
      </c>
    </row>
    <row r="25" spans="1:9" ht="14.25" customHeight="1">
      <c r="B25" s="256">
        <f t="shared" si="0"/>
        <v>18</v>
      </c>
      <c r="C25" s="121" t="s">
        <v>548</v>
      </c>
      <c r="D25" s="258"/>
      <c r="E25" s="259" t="str">
        <f>E24</f>
        <v>Hari</v>
      </c>
      <c r="F25" s="1710">
        <v>140000</v>
      </c>
      <c r="G25" s="833"/>
      <c r="I25" s="260">
        <v>142500</v>
      </c>
    </row>
    <row r="26" spans="1:9" s="20" customFormat="1" ht="14.25" customHeight="1">
      <c r="B26" s="256">
        <f t="shared" si="0"/>
        <v>19</v>
      </c>
      <c r="C26" s="257" t="s">
        <v>69</v>
      </c>
      <c r="D26" s="258"/>
      <c r="E26" s="259" t="s">
        <v>51</v>
      </c>
      <c r="F26" s="1712">
        <v>130000</v>
      </c>
      <c r="G26" s="833"/>
      <c r="H26" s="380"/>
      <c r="I26" s="834">
        <v>132745.12239999999</v>
      </c>
    </row>
    <row r="27" spans="1:9" ht="14.25" customHeight="1">
      <c r="A27" s="95"/>
      <c r="B27" s="262"/>
      <c r="C27" s="263"/>
      <c r="D27" s="258"/>
      <c r="E27" s="264"/>
      <c r="F27" s="1713"/>
      <c r="G27" s="835"/>
      <c r="I27" s="265"/>
    </row>
    <row r="28" spans="1:9" ht="14.25" customHeight="1">
      <c r="A28" s="95"/>
      <c r="B28" s="266">
        <v>1</v>
      </c>
      <c r="C28" s="267" t="s">
        <v>523</v>
      </c>
      <c r="D28" s="268"/>
      <c r="E28" s="269" t="s">
        <v>450</v>
      </c>
      <c r="F28" s="1713">
        <v>10500</v>
      </c>
      <c r="G28" s="835"/>
      <c r="I28" s="265">
        <v>10500</v>
      </c>
    </row>
    <row r="29" spans="1:9" ht="14.25" customHeight="1">
      <c r="A29" s="95"/>
      <c r="B29" s="270">
        <v>2</v>
      </c>
      <c r="C29" s="267" t="s">
        <v>524</v>
      </c>
      <c r="D29" s="268"/>
      <c r="E29" s="269" t="s">
        <v>450</v>
      </c>
      <c r="F29" s="1713">
        <v>5000</v>
      </c>
      <c r="G29" s="835"/>
      <c r="I29" s="265">
        <v>5000</v>
      </c>
    </row>
    <row r="30" spans="1:9" ht="14.25" customHeight="1">
      <c r="A30" s="95"/>
      <c r="B30" s="266">
        <v>3</v>
      </c>
      <c r="C30" s="267" t="s">
        <v>597</v>
      </c>
      <c r="D30" s="268"/>
      <c r="E30" s="269" t="s">
        <v>7</v>
      </c>
      <c r="F30" s="1713">
        <v>20000</v>
      </c>
      <c r="G30" s="835"/>
      <c r="I30" s="265">
        <v>20000</v>
      </c>
    </row>
    <row r="31" spans="1:9" ht="14.25" customHeight="1">
      <c r="A31" s="95"/>
      <c r="B31" s="266">
        <v>4</v>
      </c>
      <c r="C31" s="267" t="s">
        <v>598</v>
      </c>
      <c r="D31" s="268"/>
      <c r="E31" s="269" t="s">
        <v>450</v>
      </c>
      <c r="F31" s="1713">
        <v>10000</v>
      </c>
      <c r="G31" s="835"/>
      <c r="I31" s="265">
        <v>10000</v>
      </c>
    </row>
    <row r="32" spans="1:9" ht="14.25" customHeight="1">
      <c r="A32" s="95"/>
      <c r="B32" s="266">
        <v>5</v>
      </c>
      <c r="C32" s="267" t="s">
        <v>601</v>
      </c>
      <c r="D32" s="271"/>
      <c r="E32" s="264" t="s">
        <v>283</v>
      </c>
      <c r="F32" s="1713">
        <v>250000</v>
      </c>
      <c r="G32" s="835"/>
      <c r="I32" s="265">
        <v>250000</v>
      </c>
    </row>
    <row r="33" spans="1:9" ht="14.25" customHeight="1">
      <c r="A33" s="95"/>
      <c r="B33" s="270">
        <v>6</v>
      </c>
      <c r="C33" s="267" t="s">
        <v>692</v>
      </c>
      <c r="D33" s="271"/>
      <c r="E33" s="264" t="s">
        <v>283</v>
      </c>
      <c r="F33" s="1713">
        <v>150000</v>
      </c>
      <c r="G33" s="835"/>
      <c r="I33" s="265">
        <v>150000</v>
      </c>
    </row>
    <row r="34" spans="1:9" ht="14.25" customHeight="1">
      <c r="A34" s="95"/>
      <c r="B34" s="266">
        <v>7</v>
      </c>
      <c r="C34" s="267" t="s">
        <v>939</v>
      </c>
      <c r="D34" s="271"/>
      <c r="E34" s="264" t="s">
        <v>283</v>
      </c>
      <c r="F34" s="1713">
        <v>100000</v>
      </c>
      <c r="G34" s="835"/>
      <c r="I34" s="265">
        <v>100000</v>
      </c>
    </row>
    <row r="35" spans="1:9" s="20" customFormat="1" ht="14.25" customHeight="1">
      <c r="A35" s="897"/>
      <c r="B35" s="900">
        <v>8</v>
      </c>
      <c r="C35" s="267" t="s">
        <v>941</v>
      </c>
      <c r="D35" s="268"/>
      <c r="E35" s="269" t="s">
        <v>91</v>
      </c>
      <c r="F35" s="1713">
        <v>350000</v>
      </c>
      <c r="G35" s="901"/>
      <c r="I35" s="265">
        <v>350000</v>
      </c>
    </row>
    <row r="36" spans="1:9" s="20" customFormat="1" ht="14.25" customHeight="1">
      <c r="A36" s="897"/>
      <c r="B36" s="898">
        <v>9</v>
      </c>
      <c r="C36" s="267" t="s">
        <v>975</v>
      </c>
      <c r="D36" s="271"/>
      <c r="E36" s="1778" t="str">
        <f>E35</f>
        <v>ls</v>
      </c>
      <c r="F36" s="1786">
        <v>450000</v>
      </c>
      <c r="G36" s="899"/>
      <c r="I36" s="265">
        <v>450000</v>
      </c>
    </row>
    <row r="37" spans="1:9" s="20" customFormat="1" ht="14.25" customHeight="1">
      <c r="A37" s="897"/>
      <c r="B37" s="907"/>
      <c r="C37" s="267" t="s">
        <v>1049</v>
      </c>
      <c r="D37" s="271"/>
      <c r="E37" s="1778" t="str">
        <f>E36</f>
        <v>ls</v>
      </c>
      <c r="F37" s="1787">
        <v>1500000</v>
      </c>
      <c r="G37" s="908"/>
      <c r="I37" s="265">
        <v>1500000</v>
      </c>
    </row>
    <row r="38" spans="1:9" s="20" customFormat="1" ht="14.25" customHeight="1">
      <c r="A38" s="897"/>
      <c r="B38" s="1776"/>
      <c r="C38" s="267" t="s">
        <v>616</v>
      </c>
      <c r="D38" s="1779"/>
      <c r="E38" s="1780" t="s">
        <v>91</v>
      </c>
      <c r="F38" s="1788">
        <v>1350000</v>
      </c>
      <c r="G38" s="1777"/>
      <c r="I38" s="265">
        <v>1350000</v>
      </c>
    </row>
    <row r="39" spans="1:9" s="20" customFormat="1" ht="14.25" customHeight="1">
      <c r="A39" s="897"/>
      <c r="B39" s="1776"/>
      <c r="C39" s="267" t="s">
        <v>617</v>
      </c>
      <c r="D39" s="1779"/>
      <c r="E39" s="1780" t="s">
        <v>266</v>
      </c>
      <c r="F39" s="1788">
        <v>59500</v>
      </c>
      <c r="G39" s="1777"/>
      <c r="I39" s="265">
        <v>59500</v>
      </c>
    </row>
    <row r="40" spans="1:9" s="20" customFormat="1" ht="14.25" customHeight="1">
      <c r="A40" s="897"/>
      <c r="B40" s="1776"/>
      <c r="C40" s="267" t="s">
        <v>1021</v>
      </c>
      <c r="D40" s="1779"/>
      <c r="E40" s="1780" t="s">
        <v>372</v>
      </c>
      <c r="F40" s="1788">
        <v>100000</v>
      </c>
      <c r="G40" s="1777"/>
      <c r="I40" s="265">
        <v>100000</v>
      </c>
    </row>
    <row r="41" spans="1:9" s="20" customFormat="1" ht="14.25" customHeight="1">
      <c r="A41" s="897"/>
      <c r="B41" s="1776"/>
      <c r="C41" s="267" t="s">
        <v>1023</v>
      </c>
      <c r="D41" s="1779"/>
      <c r="E41" s="1780" t="s">
        <v>372</v>
      </c>
      <c r="F41" s="1788">
        <v>9270000</v>
      </c>
      <c r="G41" s="1777"/>
      <c r="I41" s="265">
        <v>9270000</v>
      </c>
    </row>
    <row r="42" spans="1:9" s="20" customFormat="1" ht="14.25" customHeight="1">
      <c r="A42" s="897"/>
      <c r="B42" s="1776"/>
      <c r="C42" s="267" t="s">
        <v>1020</v>
      </c>
      <c r="D42" s="1779"/>
      <c r="E42" s="1780" t="s">
        <v>7</v>
      </c>
      <c r="F42" s="1788">
        <v>562500</v>
      </c>
      <c r="G42" s="1777"/>
      <c r="I42" s="265">
        <v>562500</v>
      </c>
    </row>
    <row r="43" spans="1:9" s="20" customFormat="1" ht="14.25" customHeight="1">
      <c r="A43" s="897"/>
      <c r="B43" s="1776"/>
      <c r="C43" s="267" t="s">
        <v>1012</v>
      </c>
      <c r="D43" s="1779"/>
      <c r="E43" s="1780" t="s">
        <v>7</v>
      </c>
      <c r="F43" s="1788">
        <v>120000</v>
      </c>
      <c r="G43" s="1777"/>
      <c r="I43" s="265">
        <v>120000</v>
      </c>
    </row>
    <row r="44" spans="1:9" s="20" customFormat="1" ht="14.25" customHeight="1">
      <c r="A44" s="897"/>
      <c r="B44" s="1776"/>
      <c r="C44" s="1795" t="s">
        <v>823</v>
      </c>
      <c r="D44" s="1779"/>
      <c r="E44" s="1780" t="s">
        <v>450</v>
      </c>
      <c r="F44" s="1788">
        <v>650000</v>
      </c>
      <c r="G44" s="1777"/>
      <c r="I44" s="1796"/>
    </row>
    <row r="45" spans="1:9" s="20" customFormat="1" ht="14.25" customHeight="1">
      <c r="A45" s="897"/>
      <c r="B45" s="1776"/>
      <c r="C45" s="1795" t="s">
        <v>824</v>
      </c>
      <c r="D45" s="1779"/>
      <c r="E45" s="1780" t="s">
        <v>453</v>
      </c>
      <c r="F45" s="1788">
        <v>120000</v>
      </c>
      <c r="G45" s="1777"/>
      <c r="I45" s="1796"/>
    </row>
    <row r="46" spans="1:9" ht="14.25" customHeight="1" thickBot="1">
      <c r="B46" s="272"/>
      <c r="C46" s="273"/>
      <c r="D46" s="274"/>
      <c r="E46" s="275"/>
      <c r="F46" s="276"/>
      <c r="G46" s="836"/>
    </row>
    <row r="47" spans="1:9" ht="14.25" customHeight="1" thickTop="1">
      <c r="B47" s="277"/>
      <c r="C47" s="244"/>
      <c r="D47" s="244"/>
      <c r="E47" s="244"/>
      <c r="F47" s="244"/>
      <c r="G47" s="244"/>
    </row>
    <row r="48" spans="1:9" ht="14.25" customHeight="1">
      <c r="C48" s="1792" t="s">
        <v>1071</v>
      </c>
      <c r="D48" s="278"/>
      <c r="E48" s="1882"/>
      <c r="F48" s="1882"/>
      <c r="G48" s="283"/>
    </row>
    <row r="49" spans="2:7" ht="14.25" customHeight="1">
      <c r="C49" s="1792" t="s">
        <v>686</v>
      </c>
      <c r="D49" s="278"/>
      <c r="E49" s="1883"/>
      <c r="F49" s="1883"/>
      <c r="G49" s="282"/>
    </row>
    <row r="50" spans="2:7" ht="14.25" customHeight="1">
      <c r="C50" s="1792" t="s">
        <v>687</v>
      </c>
      <c r="D50" s="278"/>
      <c r="E50" s="1880"/>
      <c r="F50" s="1880"/>
      <c r="G50" s="837"/>
    </row>
    <row r="51" spans="2:7" ht="14.25" customHeight="1">
      <c r="C51" s="1792" t="s">
        <v>688</v>
      </c>
      <c r="D51" s="278"/>
      <c r="E51" s="1880"/>
      <c r="F51" s="1880"/>
      <c r="G51" s="282"/>
    </row>
    <row r="52" spans="2:7" ht="14.25" customHeight="1">
      <c r="B52" s="277"/>
      <c r="C52" s="1792"/>
      <c r="D52" s="278"/>
      <c r="E52" s="1880"/>
      <c r="F52" s="1880"/>
      <c r="G52" s="649"/>
    </row>
    <row r="53" spans="2:7" ht="14.25" customHeight="1">
      <c r="B53" s="277"/>
      <c r="C53" s="1792"/>
      <c r="D53" s="278"/>
      <c r="E53" s="1880"/>
      <c r="F53" s="1880"/>
      <c r="G53" s="649"/>
    </row>
    <row r="54" spans="2:7" ht="14.25" customHeight="1">
      <c r="B54" s="244"/>
      <c r="C54" s="1792"/>
      <c r="D54" s="278"/>
      <c r="E54" s="1881"/>
      <c r="F54" s="1881"/>
      <c r="G54" s="649"/>
    </row>
    <row r="55" spans="2:7" ht="14.25" customHeight="1">
      <c r="B55" s="244"/>
      <c r="C55" s="1792"/>
      <c r="D55" s="278"/>
      <c r="E55" s="1882"/>
      <c r="F55" s="1882"/>
      <c r="G55" s="649"/>
    </row>
    <row r="56" spans="2:7" ht="14.25" customHeight="1">
      <c r="B56" s="244"/>
      <c r="C56" s="1794" t="s">
        <v>689</v>
      </c>
      <c r="D56" s="244"/>
      <c r="E56" s="281"/>
      <c r="F56" s="281"/>
      <c r="G56" s="281"/>
    </row>
    <row r="57" spans="2:7">
      <c r="C57" s="1792" t="s">
        <v>690</v>
      </c>
      <c r="E57" s="282"/>
      <c r="F57" s="282"/>
      <c r="G57" s="282"/>
    </row>
    <row r="58" spans="2:7">
      <c r="D58" s="279"/>
      <c r="E58" s="283"/>
      <c r="F58" s="283"/>
      <c r="G58" s="283"/>
    </row>
    <row r="59" spans="2:7">
      <c r="D59" s="284"/>
    </row>
    <row r="60" spans="2:7">
      <c r="D60" s="279"/>
      <c r="E60" s="285"/>
      <c r="F60" s="285"/>
      <c r="G60" s="285"/>
    </row>
    <row r="61" spans="2:7">
      <c r="D61" s="279"/>
      <c r="E61" s="285"/>
      <c r="F61" s="285"/>
      <c r="G61" s="285"/>
    </row>
    <row r="62" spans="2:7">
      <c r="D62" s="279"/>
    </row>
    <row r="63" spans="2:7">
      <c r="D63" s="279"/>
    </row>
    <row r="64" spans="2:7">
      <c r="D64" s="279"/>
    </row>
    <row r="65" spans="2:7">
      <c r="D65" s="279"/>
    </row>
    <row r="66" spans="2:7">
      <c r="D66" s="280"/>
      <c r="E66" s="286"/>
      <c r="F66" s="286"/>
      <c r="G66" s="286"/>
    </row>
    <row r="67" spans="2:7">
      <c r="D67" s="279"/>
      <c r="E67" s="285"/>
      <c r="F67" s="285"/>
      <c r="G67" s="285"/>
    </row>
    <row r="68" spans="2:7">
      <c r="D68" s="279"/>
      <c r="E68" s="285"/>
      <c r="F68" s="285"/>
      <c r="G68" s="285"/>
    </row>
    <row r="69" spans="2:7">
      <c r="B69" s="287"/>
      <c r="C69" s="288"/>
      <c r="D69" s="17"/>
    </row>
    <row r="70" spans="2:7">
      <c r="B70" s="289"/>
      <c r="C70" s="290"/>
    </row>
    <row r="71" spans="2:7">
      <c r="B71" s="289"/>
      <c r="C71" s="290"/>
    </row>
    <row r="72" spans="2:7">
      <c r="B72" s="291"/>
      <c r="C72" s="292"/>
    </row>
  </sheetData>
  <mergeCells count="11">
    <mergeCell ref="B2:G2"/>
    <mergeCell ref="B3:G3"/>
    <mergeCell ref="E48:F48"/>
    <mergeCell ref="E49:F49"/>
    <mergeCell ref="E50:F50"/>
    <mergeCell ref="G5:G6"/>
    <mergeCell ref="E51:F51"/>
    <mergeCell ref="E52:F52"/>
    <mergeCell ref="E53:F53"/>
    <mergeCell ref="E54:F54"/>
    <mergeCell ref="E55:F55"/>
  </mergeCells>
  <printOptions horizontalCentered="1"/>
  <pageMargins left="1.1811023622047201" right="0.78740157480314998" top="0.78740157480314998" bottom="1.7185039369999999" header="0.31496062992126" footer="0.90551181102362199"/>
  <pageSetup paperSize="5" scale="75" orientation="portrait" horizontalDpi="4294967293" verticalDpi="360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topLeftCell="A16" workbookViewId="0">
      <selection activeCell="E42" sqref="E42"/>
    </sheetView>
  </sheetViews>
  <sheetFormatPr defaultRowHeight="14.25"/>
  <cols>
    <col min="2" max="2" width="37.625" customWidth="1"/>
    <col min="3" max="3" width="10.75" customWidth="1"/>
    <col min="4" max="4" width="8.375" customWidth="1"/>
    <col min="5" max="5" width="13.125" customWidth="1"/>
    <col min="6" max="6" width="8.625" customWidth="1"/>
    <col min="7" max="8" width="11.25" style="9" customWidth="1"/>
  </cols>
  <sheetData>
    <row r="1" spans="1:9" ht="18">
      <c r="A1" s="1895" t="s">
        <v>131</v>
      </c>
      <c r="B1" s="1895"/>
      <c r="C1" s="1895"/>
      <c r="D1" s="1895"/>
      <c r="E1" s="1895"/>
      <c r="F1" s="1895"/>
    </row>
    <row r="2" spans="1:9" ht="18">
      <c r="A2" s="1895" t="s">
        <v>1030</v>
      </c>
      <c r="B2" s="1895"/>
      <c r="C2" s="1895"/>
      <c r="D2" s="1895"/>
      <c r="E2" s="1895"/>
      <c r="F2" s="1895"/>
    </row>
    <row r="3" spans="1:9" ht="17.25" thickBot="1">
      <c r="A3" s="3"/>
      <c r="B3" s="3"/>
      <c r="C3" s="3"/>
      <c r="D3" s="3"/>
      <c r="E3" s="6"/>
    </row>
    <row r="4" spans="1:9" ht="15" customHeight="1" thickTop="1">
      <c r="A4" s="28" t="s">
        <v>0</v>
      </c>
      <c r="B4" s="29" t="s">
        <v>65</v>
      </c>
      <c r="C4" s="29" t="s">
        <v>49</v>
      </c>
      <c r="D4" s="29" t="s">
        <v>1</v>
      </c>
      <c r="E4" s="30" t="s">
        <v>133</v>
      </c>
      <c r="F4" s="24" t="s">
        <v>113</v>
      </c>
      <c r="G4" s="301"/>
      <c r="H4" s="301"/>
      <c r="I4" s="24" t="s">
        <v>300</v>
      </c>
    </row>
    <row r="5" spans="1:9" ht="17.25" thickBot="1">
      <c r="A5" s="25">
        <v>1</v>
      </c>
      <c r="B5" s="26">
        <v>2</v>
      </c>
      <c r="C5" s="26">
        <v>3</v>
      </c>
      <c r="D5" s="26">
        <v>4</v>
      </c>
      <c r="E5" s="27">
        <v>5</v>
      </c>
      <c r="F5" s="303">
        <v>5</v>
      </c>
      <c r="G5" s="302"/>
      <c r="H5" s="302"/>
      <c r="I5" s="31">
        <v>6</v>
      </c>
    </row>
    <row r="6" spans="1:9" ht="17.25" thickTop="1">
      <c r="A6" s="304"/>
      <c r="B6" s="305"/>
      <c r="C6" s="306"/>
      <c r="D6" s="307"/>
      <c r="E6" s="32"/>
      <c r="F6" s="308"/>
      <c r="I6" s="33"/>
    </row>
    <row r="7" spans="1:9" ht="16.5">
      <c r="A7" s="309">
        <v>1</v>
      </c>
      <c r="B7" s="310" t="s">
        <v>50</v>
      </c>
      <c r="C7" s="311"/>
      <c r="D7" s="312" t="s">
        <v>51</v>
      </c>
      <c r="E7" s="1765">
        <v>147000</v>
      </c>
      <c r="F7" s="313"/>
      <c r="H7" s="1772">
        <v>147000</v>
      </c>
      <c r="I7" s="34"/>
    </row>
    <row r="8" spans="1:9" s="294" customFormat="1" ht="16.5">
      <c r="A8" s="309">
        <f>A7+1</f>
        <v>2</v>
      </c>
      <c r="B8" s="314" t="s">
        <v>288</v>
      </c>
      <c r="C8" s="311"/>
      <c r="D8" s="312" t="s">
        <v>7</v>
      </c>
      <c r="E8" s="1765">
        <v>50000</v>
      </c>
      <c r="F8" s="315"/>
      <c r="G8" s="299"/>
      <c r="H8" s="1773">
        <v>50000</v>
      </c>
      <c r="I8" s="293">
        <v>0.6</v>
      </c>
    </row>
    <row r="9" spans="1:9" s="294" customFormat="1" ht="16.5">
      <c r="A9" s="309">
        <f t="shared" ref="A9:A26" si="0">A8+1</f>
        <v>3</v>
      </c>
      <c r="B9" s="314" t="s">
        <v>289</v>
      </c>
      <c r="C9" s="311"/>
      <c r="D9" s="312" t="str">
        <f>D8</f>
        <v>bh</v>
      </c>
      <c r="E9" s="1765">
        <v>50000</v>
      </c>
      <c r="F9" s="315"/>
      <c r="G9" s="299"/>
      <c r="H9" s="1773">
        <v>50000</v>
      </c>
      <c r="I9" s="293">
        <v>0.6</v>
      </c>
    </row>
    <row r="10" spans="1:9" s="294" customFormat="1" ht="16.5">
      <c r="A10" s="309">
        <f t="shared" si="0"/>
        <v>4</v>
      </c>
      <c r="B10" s="314" t="s">
        <v>290</v>
      </c>
      <c r="C10" s="311"/>
      <c r="D10" s="312" t="str">
        <f>D9</f>
        <v>bh</v>
      </c>
      <c r="E10" s="1765">
        <v>50000</v>
      </c>
      <c r="F10" s="315"/>
      <c r="G10" s="299"/>
      <c r="H10" s="1773">
        <v>50000</v>
      </c>
      <c r="I10" s="295">
        <v>0.6</v>
      </c>
    </row>
    <row r="11" spans="1:9" s="294" customFormat="1" ht="16.5">
      <c r="A11" s="309"/>
      <c r="B11" s="314" t="s">
        <v>1075</v>
      </c>
      <c r="C11" s="311"/>
      <c r="D11" s="312" t="str">
        <f>D10</f>
        <v>bh</v>
      </c>
      <c r="E11" s="1765">
        <v>50000</v>
      </c>
      <c r="F11" s="315"/>
      <c r="G11" s="299"/>
      <c r="H11" s="1773">
        <v>50000</v>
      </c>
      <c r="I11" s="293">
        <v>0.6</v>
      </c>
    </row>
    <row r="12" spans="1:9" s="294" customFormat="1" ht="16.5">
      <c r="A12" s="309"/>
      <c r="B12" s="314" t="s">
        <v>297</v>
      </c>
      <c r="C12" s="311"/>
      <c r="D12" s="312" t="s">
        <v>51</v>
      </c>
      <c r="E12" s="1765">
        <v>62176.71</v>
      </c>
      <c r="F12" s="315"/>
      <c r="G12" s="299"/>
      <c r="H12" s="1773">
        <v>62176.71</v>
      </c>
      <c r="I12" s="296"/>
    </row>
    <row r="13" spans="1:9" s="294" customFormat="1" ht="16.5">
      <c r="A13" s="309">
        <f>A10+1</f>
        <v>5</v>
      </c>
      <c r="B13" s="747" t="s">
        <v>294</v>
      </c>
      <c r="C13" s="311"/>
      <c r="D13" s="312" t="s">
        <v>51</v>
      </c>
      <c r="E13" s="1765">
        <v>82898.28</v>
      </c>
      <c r="F13" s="315"/>
      <c r="G13" s="299"/>
      <c r="H13" s="1773">
        <v>82898.28</v>
      </c>
      <c r="I13" s="293">
        <v>0.6</v>
      </c>
    </row>
    <row r="14" spans="1:9" s="294" customFormat="1" ht="16.5">
      <c r="A14" s="309"/>
      <c r="B14" s="748" t="s">
        <v>994</v>
      </c>
      <c r="C14" s="311"/>
      <c r="D14" s="312" t="str">
        <f>D13</f>
        <v>Hari</v>
      </c>
      <c r="E14" s="1766">
        <v>529159.02</v>
      </c>
      <c r="F14" s="315"/>
      <c r="G14" s="299"/>
      <c r="H14" s="1773">
        <v>529159.02</v>
      </c>
      <c r="I14" s="293">
        <v>0.6</v>
      </c>
    </row>
    <row r="15" spans="1:9" s="294" customFormat="1" ht="15">
      <c r="A15" s="404">
        <f>1+A11</f>
        <v>1</v>
      </c>
      <c r="B15" s="749" t="s">
        <v>873</v>
      </c>
      <c r="C15" s="405"/>
      <c r="D15" s="316" t="s">
        <v>296</v>
      </c>
      <c r="E15" s="1767">
        <v>18750</v>
      </c>
      <c r="F15" s="315"/>
      <c r="G15" s="299"/>
      <c r="H15" s="1773">
        <v>18750</v>
      </c>
      <c r="I15" s="296"/>
    </row>
    <row r="16" spans="1:9" s="294" customFormat="1" ht="16.5">
      <c r="A16" s="309">
        <f t="shared" si="0"/>
        <v>2</v>
      </c>
      <c r="B16" s="310" t="s">
        <v>317</v>
      </c>
      <c r="C16" s="311"/>
      <c r="D16" s="312" t="s">
        <v>51</v>
      </c>
      <c r="E16" s="1765">
        <v>49550</v>
      </c>
      <c r="F16" s="315"/>
      <c r="G16" s="299"/>
      <c r="H16" s="1773">
        <v>49550</v>
      </c>
      <c r="I16" s="293">
        <v>0.6</v>
      </c>
    </row>
    <row r="17" spans="1:9" s="294" customFormat="1" ht="16.5">
      <c r="A17" s="309">
        <f t="shared" si="0"/>
        <v>3</v>
      </c>
      <c r="B17" s="318" t="s">
        <v>318</v>
      </c>
      <c r="C17" s="311"/>
      <c r="D17" s="312" t="s">
        <v>51</v>
      </c>
      <c r="E17" s="1765">
        <v>45045.362208187398</v>
      </c>
      <c r="F17" s="315"/>
      <c r="G17" s="299"/>
      <c r="H17" s="1773">
        <v>45045.362208187398</v>
      </c>
      <c r="I17" s="293">
        <v>0.6</v>
      </c>
    </row>
    <row r="18" spans="1:9" s="294" customFormat="1" ht="16.5">
      <c r="A18" s="309">
        <f t="shared" si="0"/>
        <v>4</v>
      </c>
      <c r="B18" s="326" t="s">
        <v>345</v>
      </c>
      <c r="C18" s="311"/>
      <c r="D18" s="312" t="s">
        <v>51</v>
      </c>
      <c r="E18" s="1768">
        <v>182459</v>
      </c>
      <c r="F18" s="315"/>
      <c r="G18" s="299"/>
      <c r="H18" s="1773">
        <v>182459</v>
      </c>
      <c r="I18" s="293">
        <v>0.6</v>
      </c>
    </row>
    <row r="19" spans="1:9" s="294" customFormat="1" ht="16.5">
      <c r="A19" s="309">
        <f t="shared" si="0"/>
        <v>5</v>
      </c>
      <c r="B19" s="310" t="s">
        <v>349</v>
      </c>
      <c r="C19" s="311"/>
      <c r="D19" s="312" t="s">
        <v>51</v>
      </c>
      <c r="E19" s="1769">
        <v>298458</v>
      </c>
      <c r="F19" s="317"/>
      <c r="G19" s="300"/>
      <c r="H19" s="1774">
        <v>298458</v>
      </c>
      <c r="I19" s="297">
        <v>0.6</v>
      </c>
    </row>
    <row r="20" spans="1:9" s="294" customFormat="1" ht="16.5">
      <c r="A20" s="309">
        <f t="shared" si="0"/>
        <v>6</v>
      </c>
      <c r="B20" s="318" t="s">
        <v>63</v>
      </c>
      <c r="C20" s="319"/>
      <c r="D20" s="320" t="s">
        <v>51</v>
      </c>
      <c r="E20" s="1770">
        <v>121000</v>
      </c>
      <c r="F20" s="315"/>
      <c r="G20" s="299"/>
      <c r="H20" s="1773">
        <v>121000</v>
      </c>
      <c r="I20" s="296"/>
    </row>
    <row r="21" spans="1:9" s="294" customFormat="1" ht="16.5">
      <c r="A21" s="309">
        <f t="shared" si="0"/>
        <v>7</v>
      </c>
      <c r="B21" s="318" t="s">
        <v>52</v>
      </c>
      <c r="C21" s="319"/>
      <c r="D21" s="320" t="s">
        <v>51</v>
      </c>
      <c r="E21" s="1770">
        <v>116000</v>
      </c>
      <c r="F21" s="315"/>
      <c r="G21" s="299"/>
      <c r="H21" s="1773">
        <v>116000</v>
      </c>
      <c r="I21" s="296"/>
    </row>
    <row r="22" spans="1:9" s="294" customFormat="1" ht="16.5">
      <c r="A22" s="309">
        <f t="shared" si="0"/>
        <v>8</v>
      </c>
      <c r="B22" s="318" t="s">
        <v>58</v>
      </c>
      <c r="C22" s="319"/>
      <c r="D22" s="320" t="s">
        <v>51</v>
      </c>
      <c r="E22" s="1770">
        <v>116000</v>
      </c>
      <c r="F22" s="315"/>
      <c r="G22" s="299"/>
      <c r="H22" s="1773">
        <v>116000</v>
      </c>
      <c r="I22" s="296"/>
    </row>
    <row r="23" spans="1:9" s="294" customFormat="1" ht="16.5">
      <c r="A23" s="309">
        <f t="shared" si="0"/>
        <v>9</v>
      </c>
      <c r="B23" s="318" t="s">
        <v>54</v>
      </c>
      <c r="C23" s="319"/>
      <c r="D23" s="320" t="s">
        <v>51</v>
      </c>
      <c r="E23" s="1770">
        <v>116000</v>
      </c>
      <c r="F23" s="315"/>
      <c r="G23" s="299"/>
      <c r="H23" s="1773">
        <v>116000</v>
      </c>
      <c r="I23" s="296"/>
    </row>
    <row r="24" spans="1:9" s="294" customFormat="1" ht="16.5">
      <c r="A24" s="309">
        <f t="shared" si="0"/>
        <v>10</v>
      </c>
      <c r="B24" s="318" t="s">
        <v>57</v>
      </c>
      <c r="C24" s="319"/>
      <c r="D24" s="320" t="s">
        <v>51</v>
      </c>
      <c r="E24" s="1770">
        <v>116000</v>
      </c>
      <c r="F24" s="315"/>
      <c r="G24" s="299"/>
      <c r="H24" s="1773">
        <v>116000</v>
      </c>
      <c r="I24" s="296"/>
    </row>
    <row r="25" spans="1:9" s="294" customFormat="1" ht="16.5">
      <c r="A25" s="309">
        <f t="shared" si="0"/>
        <v>11</v>
      </c>
      <c r="B25" s="318" t="s">
        <v>56</v>
      </c>
      <c r="C25" s="319"/>
      <c r="D25" s="320" t="s">
        <v>51</v>
      </c>
      <c r="E25" s="1770">
        <v>116000</v>
      </c>
      <c r="F25" s="315"/>
      <c r="G25" s="299"/>
      <c r="H25" s="1773">
        <v>116000</v>
      </c>
      <c r="I25" s="296"/>
    </row>
    <row r="26" spans="1:9" s="294" customFormat="1" ht="17.25" thickBot="1">
      <c r="A26" s="321">
        <f t="shared" si="0"/>
        <v>12</v>
      </c>
      <c r="B26" s="322" t="s">
        <v>59</v>
      </c>
      <c r="C26" s="323"/>
      <c r="D26" s="324" t="s">
        <v>51</v>
      </c>
      <c r="E26" s="1771">
        <v>116000</v>
      </c>
      <c r="F26" s="325"/>
      <c r="G26" s="299"/>
      <c r="H26" s="1773">
        <v>116000</v>
      </c>
      <c r="I26" s="298"/>
    </row>
    <row r="27" spans="1:9" ht="15" thickTop="1"/>
    <row r="29" spans="1:9" ht="15">
      <c r="B29" s="1792" t="s">
        <v>1071</v>
      </c>
      <c r="E29" s="1882"/>
      <c r="F29" s="1882"/>
    </row>
    <row r="30" spans="1:9" ht="15">
      <c r="B30" s="1792" t="s">
        <v>686</v>
      </c>
      <c r="E30" s="1883"/>
      <c r="F30" s="1883"/>
    </row>
    <row r="31" spans="1:9" ht="15">
      <c r="B31" s="1792" t="s">
        <v>687</v>
      </c>
      <c r="E31" s="1880"/>
      <c r="F31" s="1880"/>
    </row>
    <row r="32" spans="1:9" ht="15">
      <c r="B32" s="1792" t="s">
        <v>688</v>
      </c>
      <c r="E32" s="1880"/>
      <c r="F32" s="1880"/>
    </row>
    <row r="33" spans="2:6" ht="15">
      <c r="B33" s="1792"/>
      <c r="E33" s="1880"/>
      <c r="F33" s="1880"/>
    </row>
    <row r="34" spans="2:6" ht="15">
      <c r="B34" s="1792"/>
      <c r="E34" s="1880"/>
      <c r="F34" s="1880"/>
    </row>
    <row r="35" spans="2:6" ht="15">
      <c r="B35" s="1792"/>
      <c r="E35" s="1881"/>
      <c r="F35" s="1881"/>
    </row>
    <row r="36" spans="2:6" ht="15">
      <c r="B36" s="1792"/>
      <c r="E36" s="1882"/>
      <c r="F36" s="1882"/>
    </row>
    <row r="37" spans="2:6">
      <c r="B37" s="1794" t="s">
        <v>689</v>
      </c>
    </row>
    <row r="38" spans="2:6" ht="15">
      <c r="B38" s="1792" t="s">
        <v>690</v>
      </c>
    </row>
  </sheetData>
  <mergeCells count="10">
    <mergeCell ref="E29:F29"/>
    <mergeCell ref="E30:F30"/>
    <mergeCell ref="E31:F31"/>
    <mergeCell ref="A1:F1"/>
    <mergeCell ref="A2:F2"/>
    <mergeCell ref="E32:F32"/>
    <mergeCell ref="E33:F33"/>
    <mergeCell ref="E34:F34"/>
    <mergeCell ref="E35:F35"/>
    <mergeCell ref="E36:F36"/>
  </mergeCells>
  <pageMargins left="1.2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9"/>
  <sheetViews>
    <sheetView topLeftCell="A99" workbookViewId="0">
      <selection activeCell="E94" sqref="E94"/>
    </sheetView>
  </sheetViews>
  <sheetFormatPr defaultRowHeight="14.25"/>
  <cols>
    <col min="1" max="1" width="4.875" style="649" customWidth="1"/>
    <col min="2" max="2" width="0.75" style="649" customWidth="1"/>
    <col min="3" max="3" width="9" style="649"/>
    <col min="4" max="4" width="2.5" style="649" customWidth="1"/>
    <col min="5" max="5" width="37.625" style="649" customWidth="1"/>
    <col min="6" max="6" width="9" style="649"/>
    <col min="7" max="7" width="5.375" style="649" customWidth="1"/>
    <col min="8" max="8" width="13.25" style="649" customWidth="1"/>
    <col min="9" max="9" width="17.375" style="649" customWidth="1"/>
    <col min="11" max="11" width="16.25" bestFit="1" customWidth="1"/>
  </cols>
  <sheetData>
    <row r="1" spans="1:11" s="111" customFormat="1" ht="20.25">
      <c r="A1" s="1896" t="str">
        <f>UPLOAD!B1</f>
        <v>HARGA PERKIRAAN SENDIRI (HPS)</v>
      </c>
      <c r="B1" s="1896"/>
      <c r="C1" s="1896"/>
      <c r="D1" s="1896"/>
      <c r="E1" s="1896"/>
      <c r="F1" s="1896"/>
      <c r="G1" s="1896"/>
      <c r="H1" s="1896"/>
      <c r="I1" s="1896"/>
    </row>
    <row r="2" spans="1:11" s="111" customFormat="1">
      <c r="A2" s="650"/>
      <c r="B2" s="650"/>
      <c r="C2" s="650"/>
      <c r="D2" s="650"/>
      <c r="E2" s="650"/>
      <c r="F2" s="650"/>
      <c r="G2" s="650"/>
      <c r="H2" s="650"/>
      <c r="I2" s="650"/>
    </row>
    <row r="3" spans="1:11" s="111" customFormat="1" ht="15">
      <c r="A3" s="509" t="s">
        <v>409</v>
      </c>
      <c r="B3" s="510"/>
      <c r="C3" s="510"/>
      <c r="D3" s="510" t="s">
        <v>410</v>
      </c>
      <c r="E3" s="510" t="str">
        <f>UPLOAD!F3</f>
        <v>PENINGKATAN KUALITAS DAN KUANTITAS PERGURUAN TINGGI</v>
      </c>
      <c r="F3" s="651"/>
      <c r="G3" s="652"/>
      <c r="H3" s="650"/>
      <c r="I3" s="653"/>
    </row>
    <row r="4" spans="1:11" s="111" customFormat="1" ht="15">
      <c r="A4" s="509" t="s">
        <v>411</v>
      </c>
      <c r="B4" s="510"/>
      <c r="C4" s="510"/>
      <c r="D4" s="510" t="s">
        <v>410</v>
      </c>
      <c r="E4" s="510" t="str">
        <f>UPLOAD!F4</f>
        <v>PERBAIKAN ATAP GEDUNG FH BUKIT JIMBARAN</v>
      </c>
      <c r="F4" s="651"/>
      <c r="G4" s="652"/>
      <c r="H4" s="650"/>
      <c r="I4" s="653"/>
    </row>
    <row r="5" spans="1:11" s="111" customFormat="1" ht="15">
      <c r="A5" s="509" t="s">
        <v>647</v>
      </c>
      <c r="B5" s="510"/>
      <c r="C5" s="510"/>
      <c r="D5" s="510" t="s">
        <v>410</v>
      </c>
      <c r="E5" s="510" t="s">
        <v>837</v>
      </c>
      <c r="F5" s="651"/>
      <c r="G5" s="654"/>
      <c r="H5" s="654"/>
      <c r="I5" s="655"/>
    </row>
    <row r="6" spans="1:11" s="111" customFormat="1" ht="15">
      <c r="A6" s="509" t="s">
        <v>783</v>
      </c>
      <c r="B6" s="510"/>
      <c r="C6" s="510"/>
      <c r="D6" s="510" t="s">
        <v>410</v>
      </c>
      <c r="E6" s="509">
        <v>2025</v>
      </c>
      <c r="F6" s="651"/>
      <c r="G6" s="654"/>
      <c r="H6" s="654"/>
      <c r="I6" s="655"/>
    </row>
    <row r="7" spans="1:11" s="111" customFormat="1" ht="15.75" thickBot="1">
      <c r="A7" s="653"/>
      <c r="B7" s="653"/>
      <c r="C7" s="653"/>
      <c r="D7" s="653"/>
      <c r="E7" s="653"/>
      <c r="F7" s="653"/>
      <c r="G7" s="653"/>
      <c r="H7" s="653"/>
      <c r="I7" s="653"/>
    </row>
    <row r="8" spans="1:11" s="111" customFormat="1" ht="15" thickTop="1">
      <c r="A8" s="1914" t="s">
        <v>0</v>
      </c>
      <c r="B8" s="1906" t="s">
        <v>454</v>
      </c>
      <c r="C8" s="1907"/>
      <c r="D8" s="1907"/>
      <c r="E8" s="1907"/>
      <c r="F8" s="1907"/>
      <c r="G8" s="1907"/>
      <c r="H8" s="1908"/>
      <c r="I8" s="656" t="s">
        <v>455</v>
      </c>
    </row>
    <row r="9" spans="1:11" s="111" customFormat="1" ht="15" thickBot="1">
      <c r="A9" s="1915"/>
      <c r="B9" s="1909"/>
      <c r="C9" s="1910"/>
      <c r="D9" s="1910"/>
      <c r="E9" s="1910"/>
      <c r="F9" s="1910"/>
      <c r="G9" s="1910"/>
      <c r="H9" s="1911"/>
      <c r="I9" s="657" t="s">
        <v>456</v>
      </c>
    </row>
    <row r="10" spans="1:11" s="111" customFormat="1" ht="15.75" thickTop="1">
      <c r="A10" s="658" t="s">
        <v>262</v>
      </c>
      <c r="B10" s="659" t="s">
        <v>457</v>
      </c>
      <c r="C10" s="659"/>
      <c r="D10" s="660"/>
      <c r="E10" s="661"/>
      <c r="F10" s="661"/>
      <c r="G10" s="661"/>
      <c r="H10" s="661"/>
      <c r="I10" s="662"/>
      <c r="K10" s="10"/>
    </row>
    <row r="11" spans="1:11" s="111" customFormat="1" ht="15">
      <c r="A11" s="663">
        <v>1</v>
      </c>
      <c r="B11" s="664" t="s">
        <v>458</v>
      </c>
      <c r="C11" s="664"/>
      <c r="D11" s="664"/>
      <c r="E11" s="665"/>
      <c r="F11" s="665"/>
      <c r="G11" s="665"/>
      <c r="H11" s="665"/>
      <c r="I11" s="666">
        <f>I80</f>
        <v>250000</v>
      </c>
      <c r="K11" s="10"/>
    </row>
    <row r="12" spans="1:11" s="111" customFormat="1" ht="15">
      <c r="A12" s="667">
        <v>2</v>
      </c>
      <c r="B12" s="668" t="s">
        <v>459</v>
      </c>
      <c r="C12" s="668"/>
      <c r="D12" s="668"/>
      <c r="E12" s="669"/>
      <c r="F12" s="669"/>
      <c r="G12" s="669"/>
      <c r="H12" s="669"/>
      <c r="I12" s="666">
        <v>0</v>
      </c>
    </row>
    <row r="13" spans="1:11" s="111" customFormat="1" ht="15">
      <c r="A13" s="667">
        <v>3</v>
      </c>
      <c r="B13" s="668" t="s">
        <v>460</v>
      </c>
      <c r="C13" s="668"/>
      <c r="D13" s="668"/>
      <c r="E13" s="669"/>
      <c r="F13" s="669"/>
      <c r="G13" s="669"/>
      <c r="H13" s="669"/>
      <c r="I13" s="666">
        <f>I88</f>
        <v>9772220</v>
      </c>
    </row>
    <row r="14" spans="1:11" s="111" customFormat="1" ht="15.75" thickBot="1">
      <c r="A14" s="670"/>
      <c r="B14" s="671"/>
      <c r="C14" s="671"/>
      <c r="D14" s="671"/>
      <c r="E14" s="672"/>
      <c r="F14" s="672"/>
      <c r="G14" s="672"/>
      <c r="H14" s="672"/>
      <c r="I14" s="673" t="s">
        <v>337</v>
      </c>
    </row>
    <row r="15" spans="1:11" s="111" customFormat="1" ht="15.75" thickTop="1">
      <c r="A15" s="658" t="s">
        <v>263</v>
      </c>
      <c r="B15" s="659" t="s">
        <v>461</v>
      </c>
      <c r="C15" s="659"/>
      <c r="D15" s="660"/>
      <c r="E15" s="661"/>
      <c r="F15" s="661"/>
      <c r="G15" s="661"/>
      <c r="H15" s="661"/>
      <c r="I15" s="674" t="s">
        <v>337</v>
      </c>
    </row>
    <row r="16" spans="1:11" s="111" customFormat="1" ht="15">
      <c r="A16" s="663">
        <v>1</v>
      </c>
      <c r="B16" s="664" t="s">
        <v>458</v>
      </c>
      <c r="C16" s="664"/>
      <c r="D16" s="675"/>
      <c r="E16" s="672"/>
      <c r="F16" s="672"/>
      <c r="G16" s="672"/>
      <c r="H16" s="672"/>
      <c r="I16" s="676"/>
    </row>
    <row r="17" spans="1:11" s="111" customFormat="1" ht="15">
      <c r="A17" s="667">
        <v>2</v>
      </c>
      <c r="B17" s="668" t="s">
        <v>459</v>
      </c>
      <c r="C17" s="668"/>
      <c r="D17" s="675"/>
      <c r="E17" s="672"/>
      <c r="F17" s="672"/>
      <c r="G17" s="672"/>
      <c r="H17" s="672"/>
      <c r="I17" s="676">
        <f>I111</f>
        <v>11782920</v>
      </c>
    </row>
    <row r="18" spans="1:11" s="111" customFormat="1" ht="15">
      <c r="A18" s="667">
        <v>3</v>
      </c>
      <c r="B18" s="668" t="s">
        <v>460</v>
      </c>
      <c r="C18" s="668"/>
      <c r="D18" s="668"/>
      <c r="E18" s="669"/>
      <c r="F18" s="669"/>
      <c r="G18" s="669"/>
      <c r="H18" s="669"/>
      <c r="I18" s="676">
        <f>I270</f>
        <v>1102916104.952817</v>
      </c>
    </row>
    <row r="19" spans="1:11" s="111" customFormat="1" ht="15.75" thickBot="1">
      <c r="A19" s="677"/>
      <c r="B19" s="678"/>
      <c r="C19" s="678"/>
      <c r="D19" s="678"/>
      <c r="E19" s="679"/>
      <c r="F19" s="679"/>
      <c r="G19" s="679"/>
      <c r="H19" s="679"/>
      <c r="I19" s="680"/>
    </row>
    <row r="20" spans="1:11" s="111" customFormat="1" ht="15.75" thickTop="1">
      <c r="A20" s="681"/>
      <c r="B20" s="682"/>
      <c r="C20" s="683"/>
      <c r="D20" s="684" t="s">
        <v>462</v>
      </c>
      <c r="E20" s="685"/>
      <c r="F20" s="685"/>
      <c r="G20" s="685"/>
      <c r="H20" s="685"/>
      <c r="I20" s="686">
        <f>SUM(I11:I18)</f>
        <v>1124721244.952817</v>
      </c>
    </row>
    <row r="21" spans="1:11" s="111" customFormat="1" ht="15">
      <c r="A21" s="687"/>
      <c r="B21" s="688"/>
      <c r="C21" s="668"/>
      <c r="D21" s="689" t="s">
        <v>1045</v>
      </c>
      <c r="E21" s="669"/>
      <c r="F21" s="669"/>
      <c r="G21" s="669"/>
      <c r="H21" s="669"/>
      <c r="I21" s="690">
        <f>11*I20/100</f>
        <v>123719336.94480987</v>
      </c>
    </row>
    <row r="22" spans="1:11" s="111" customFormat="1" ht="15">
      <c r="A22" s="691"/>
      <c r="B22" s="692"/>
      <c r="C22" s="693"/>
      <c r="D22" s="694" t="s">
        <v>463</v>
      </c>
      <c r="E22" s="695"/>
      <c r="F22" s="695"/>
      <c r="G22" s="695"/>
      <c r="H22" s="695"/>
      <c r="I22" s="696">
        <f>SUM(I20:I21)</f>
        <v>1248440581.8976269</v>
      </c>
    </row>
    <row r="23" spans="1:11" s="111" customFormat="1" ht="15.75" thickBot="1">
      <c r="A23" s="697"/>
      <c r="B23" s="698"/>
      <c r="C23" s="699"/>
      <c r="D23" s="700" t="s">
        <v>464</v>
      </c>
      <c r="E23" s="701"/>
      <c r="F23" s="701"/>
      <c r="G23" s="701" t="s">
        <v>337</v>
      </c>
      <c r="H23" s="701"/>
      <c r="I23" s="110">
        <f>INT(I22/1000)*1000</f>
        <v>1248440000</v>
      </c>
      <c r="K23" s="11">
        <v>1250000000</v>
      </c>
    </row>
    <row r="24" spans="1:11" s="111" customFormat="1" ht="16.5" thickTop="1" thickBot="1">
      <c r="A24" s="702"/>
      <c r="B24" s="703"/>
      <c r="C24" s="704" t="s">
        <v>988</v>
      </c>
      <c r="D24" s="703"/>
      <c r="E24" s="704"/>
      <c r="F24" s="704"/>
      <c r="G24" s="705"/>
      <c r="H24" s="706"/>
      <c r="I24" s="707"/>
      <c r="K24" s="94">
        <f>K23-I23</f>
        <v>1560000</v>
      </c>
    </row>
    <row r="25" spans="1:11" s="111" customFormat="1" ht="15.75" thickTop="1">
      <c r="A25" s="653"/>
      <c r="B25" s="653"/>
      <c r="C25" s="653"/>
      <c r="D25" s="653"/>
      <c r="E25" s="653"/>
      <c r="F25" s="653"/>
      <c r="G25" s="653"/>
      <c r="H25" s="653"/>
      <c r="I25" s="653"/>
      <c r="K25" s="111">
        <f>K24/H227</f>
        <v>6.1338876690141628</v>
      </c>
    </row>
    <row r="26" spans="1:11" s="111" customFormat="1" ht="15">
      <c r="A26" s="649"/>
      <c r="B26" s="649"/>
      <c r="C26" s="649"/>
      <c r="D26" s="1674"/>
      <c r="E26" s="649"/>
      <c r="F26" s="1674"/>
      <c r="H26" s="1792" t="s">
        <v>1071</v>
      </c>
    </row>
    <row r="27" spans="1:11" s="111" customFormat="1" ht="15">
      <c r="A27" s="649"/>
      <c r="B27" s="649"/>
      <c r="C27" s="649"/>
      <c r="D27" s="1674"/>
      <c r="E27" s="649"/>
      <c r="F27" s="1674"/>
      <c r="G27" s="1674"/>
      <c r="H27" s="1792" t="s">
        <v>686</v>
      </c>
    </row>
    <row r="28" spans="1:11" s="111" customFormat="1" ht="15">
      <c r="A28" s="649"/>
      <c r="B28" s="649"/>
      <c r="C28" s="649"/>
      <c r="D28" s="1674"/>
      <c r="E28" s="649"/>
      <c r="F28" s="1674"/>
      <c r="G28" s="1674"/>
      <c r="H28" s="1792" t="s">
        <v>687</v>
      </c>
    </row>
    <row r="29" spans="1:11" s="111" customFormat="1" ht="15">
      <c r="A29" s="649"/>
      <c r="B29" s="649"/>
      <c r="C29" s="649"/>
      <c r="D29" s="1674"/>
      <c r="E29" s="649"/>
      <c r="F29" s="1674"/>
      <c r="G29" s="1674"/>
      <c r="H29" s="1792" t="s">
        <v>688</v>
      </c>
    </row>
    <row r="30" spans="1:11" s="111" customFormat="1" ht="15">
      <c r="A30" s="649"/>
      <c r="B30" s="649"/>
      <c r="C30" s="649"/>
      <c r="D30" s="1675"/>
      <c r="E30" s="649"/>
      <c r="F30" s="1675"/>
      <c r="G30" s="1675"/>
      <c r="H30" s="1792"/>
    </row>
    <row r="31" spans="1:11" s="111" customFormat="1" ht="15">
      <c r="A31" s="649"/>
      <c r="B31" s="649"/>
      <c r="C31" s="649"/>
      <c r="D31" s="1675"/>
      <c r="E31" s="649"/>
      <c r="F31" s="1675"/>
      <c r="G31" s="1675"/>
      <c r="H31" s="1792"/>
    </row>
    <row r="32" spans="1:11" s="111" customFormat="1" ht="15">
      <c r="A32" s="649"/>
      <c r="B32" s="649"/>
      <c r="C32" s="649"/>
      <c r="D32" s="1675"/>
      <c r="E32" s="649"/>
      <c r="F32" s="1675"/>
      <c r="G32" s="1675"/>
      <c r="H32" s="1792"/>
    </row>
    <row r="33" spans="1:9" s="111" customFormat="1" ht="15">
      <c r="A33" s="649"/>
      <c r="B33" s="649"/>
      <c r="C33" s="649"/>
      <c r="D33" s="1675"/>
      <c r="E33" s="649"/>
      <c r="F33" s="1675"/>
      <c r="G33" s="1675"/>
      <c r="H33" s="1792"/>
    </row>
    <row r="34" spans="1:9" s="111" customFormat="1">
      <c r="A34" s="649"/>
      <c r="B34" s="649"/>
      <c r="C34" s="649"/>
      <c r="D34" s="1672"/>
      <c r="E34" s="649"/>
      <c r="F34" s="1672"/>
      <c r="G34" s="1672"/>
      <c r="H34" s="1794" t="s">
        <v>689</v>
      </c>
    </row>
    <row r="35" spans="1:9" s="111" customFormat="1" ht="15">
      <c r="A35" s="649"/>
      <c r="B35" s="649"/>
      <c r="C35" s="649"/>
      <c r="D35" s="1674"/>
      <c r="E35" s="649"/>
      <c r="F35" s="1674"/>
      <c r="G35" s="1674"/>
      <c r="H35" s="1792" t="s">
        <v>690</v>
      </c>
    </row>
    <row r="36" spans="1:9" s="111" customFormat="1" ht="15">
      <c r="A36" s="649"/>
      <c r="B36" s="649"/>
      <c r="C36" s="649"/>
      <c r="D36" s="1674"/>
      <c r="E36" s="1674"/>
      <c r="F36" s="709"/>
      <c r="G36" s="1675"/>
      <c r="H36" s="1674"/>
      <c r="I36" s="1674"/>
    </row>
    <row r="37" spans="1:9" s="111" customFormat="1" ht="15">
      <c r="A37" s="649"/>
      <c r="B37" s="649"/>
      <c r="C37" s="649"/>
      <c r="D37" s="1674"/>
      <c r="E37" s="1674"/>
      <c r="F37" s="709"/>
      <c r="G37" s="1674"/>
      <c r="H37" s="1674"/>
      <c r="I37" s="1674"/>
    </row>
    <row r="38" spans="1:9" s="111" customFormat="1" ht="15">
      <c r="A38" s="649"/>
      <c r="B38" s="649"/>
      <c r="C38" s="649"/>
      <c r="D38" s="1792"/>
      <c r="E38" s="1792"/>
      <c r="F38" s="1792"/>
      <c r="G38" s="1792"/>
      <c r="H38" s="1792"/>
      <c r="I38" s="1674"/>
    </row>
    <row r="39" spans="1:9" s="111" customFormat="1" ht="15">
      <c r="A39" s="649"/>
      <c r="B39" s="649"/>
      <c r="C39" s="649"/>
      <c r="D39" s="1917"/>
      <c r="E39" s="1917"/>
      <c r="F39" s="1917"/>
      <c r="G39" s="1917"/>
      <c r="H39" s="1917"/>
      <c r="I39" s="708"/>
    </row>
    <row r="40" spans="1:9" s="111" customFormat="1" ht="15">
      <c r="A40" s="649"/>
      <c r="B40" s="649"/>
      <c r="C40" s="649"/>
      <c r="D40" s="1917"/>
      <c r="E40" s="1917"/>
      <c r="F40" s="1917"/>
      <c r="G40" s="1917"/>
      <c r="H40" s="1917"/>
      <c r="I40" s="708"/>
    </row>
    <row r="41" spans="1:9" s="111" customFormat="1" ht="15">
      <c r="A41" s="649"/>
      <c r="B41" s="649"/>
      <c r="C41" s="649"/>
      <c r="D41" s="1916"/>
      <c r="E41" s="1916"/>
      <c r="F41" s="1916"/>
      <c r="G41" s="1916"/>
      <c r="H41" s="1916"/>
      <c r="I41" s="408"/>
    </row>
    <row r="42" spans="1:9" s="111" customFormat="1" ht="15">
      <c r="A42" s="649"/>
      <c r="B42" s="649"/>
      <c r="C42" s="649"/>
      <c r="D42" s="1916"/>
      <c r="E42" s="1916"/>
      <c r="F42" s="1916"/>
      <c r="G42" s="1916"/>
      <c r="H42" s="1916"/>
      <c r="I42" s="408"/>
    </row>
    <row r="43" spans="1:9" s="111" customFormat="1" ht="15">
      <c r="A43" s="649"/>
      <c r="B43" s="649"/>
      <c r="C43" s="649"/>
      <c r="D43" s="1916"/>
      <c r="E43" s="1916"/>
      <c r="F43" s="1916"/>
      <c r="G43" s="1916"/>
      <c r="H43" s="1916"/>
      <c r="I43" s="408"/>
    </row>
    <row r="44" spans="1:9" s="111" customFormat="1">
      <c r="A44" s="649"/>
      <c r="B44" s="649"/>
      <c r="C44" s="649"/>
      <c r="D44" s="1903"/>
      <c r="E44" s="1903"/>
      <c r="F44" s="1903"/>
      <c r="G44" s="1903"/>
      <c r="H44" s="1903"/>
      <c r="I44" s="710"/>
    </row>
    <row r="45" spans="1:9" s="111" customFormat="1">
      <c r="A45" s="649"/>
      <c r="B45" s="649"/>
      <c r="C45" s="649"/>
      <c r="D45" s="1903"/>
      <c r="E45" s="1903"/>
      <c r="F45" s="1903"/>
      <c r="G45" s="1903"/>
      <c r="H45" s="1903"/>
      <c r="I45" s="710"/>
    </row>
    <row r="46" spans="1:9" s="111" customFormat="1">
      <c r="A46" s="649"/>
      <c r="B46" s="649"/>
      <c r="C46" s="649"/>
      <c r="D46" s="1904"/>
      <c r="E46" s="1904"/>
      <c r="F46" s="1904"/>
      <c r="G46" s="1904"/>
      <c r="H46" s="1904"/>
      <c r="I46" s="711"/>
    </row>
    <row r="47" spans="1:9" s="111" customFormat="1">
      <c r="A47" s="649"/>
      <c r="B47" s="649"/>
      <c r="C47" s="649"/>
      <c r="D47" s="1905"/>
      <c r="E47" s="1905"/>
      <c r="F47" s="1905"/>
      <c r="G47" s="1905"/>
      <c r="H47" s="1905"/>
      <c r="I47" s="712"/>
    </row>
    <row r="48" spans="1:9" s="111" customFormat="1">
      <c r="A48" s="649"/>
      <c r="B48" s="649"/>
      <c r="C48" s="649"/>
      <c r="D48" s="649"/>
      <c r="E48" s="649"/>
      <c r="F48" s="649"/>
      <c r="G48" s="649"/>
      <c r="H48" s="649"/>
      <c r="I48" s="649"/>
    </row>
    <row r="49" spans="1:9" s="111" customFormat="1">
      <c r="A49" s="649"/>
      <c r="B49" s="649"/>
      <c r="C49" s="649"/>
      <c r="D49" s="649"/>
      <c r="E49" s="649"/>
      <c r="F49" s="649"/>
      <c r="G49" s="649"/>
      <c r="H49" s="649"/>
      <c r="I49" s="649"/>
    </row>
    <row r="50" spans="1:9" s="111" customFormat="1">
      <c r="A50" s="649"/>
      <c r="B50" s="649"/>
      <c r="C50" s="649"/>
      <c r="D50" s="649"/>
      <c r="E50" s="649"/>
      <c r="F50" s="649"/>
      <c r="G50" s="649"/>
      <c r="H50" s="649"/>
      <c r="I50" s="649"/>
    </row>
    <row r="51" spans="1:9" s="111" customFormat="1">
      <c r="A51" s="649"/>
      <c r="B51" s="649"/>
      <c r="C51" s="649"/>
      <c r="D51" s="649"/>
      <c r="E51" s="649"/>
      <c r="F51" s="649"/>
      <c r="G51" s="649"/>
      <c r="H51" s="649"/>
      <c r="I51" s="649"/>
    </row>
    <row r="52" spans="1:9" s="111" customFormat="1">
      <c r="A52" s="649"/>
      <c r="B52" s="649"/>
      <c r="C52" s="649"/>
      <c r="D52" s="649"/>
      <c r="E52" s="649"/>
      <c r="F52" s="649"/>
      <c r="G52" s="649"/>
      <c r="H52" s="649"/>
      <c r="I52" s="649"/>
    </row>
    <row r="53" spans="1:9" s="111" customFormat="1">
      <c r="A53" s="649"/>
      <c r="B53" s="649"/>
      <c r="C53" s="649"/>
      <c r="D53" s="649"/>
      <c r="E53" s="649"/>
      <c r="F53" s="649"/>
      <c r="G53" s="649"/>
      <c r="H53" s="649"/>
      <c r="I53" s="649"/>
    </row>
    <row r="54" spans="1:9" s="111" customFormat="1">
      <c r="A54" s="649"/>
      <c r="B54" s="649"/>
      <c r="C54" s="649"/>
      <c r="D54" s="649"/>
      <c r="E54" s="649"/>
      <c r="F54" s="649"/>
      <c r="G54" s="649"/>
      <c r="H54" s="649"/>
      <c r="I54" s="649"/>
    </row>
    <row r="55" spans="1:9" s="111" customFormat="1">
      <c r="A55" s="649"/>
      <c r="B55" s="649"/>
      <c r="C55" s="649"/>
      <c r="D55" s="649"/>
      <c r="E55" s="649"/>
      <c r="F55" s="649"/>
      <c r="G55" s="649"/>
      <c r="H55" s="649"/>
      <c r="I55" s="649"/>
    </row>
    <row r="56" spans="1:9" s="111" customFormat="1">
      <c r="A56" s="649"/>
      <c r="B56" s="649"/>
      <c r="C56" s="649"/>
      <c r="D56" s="649"/>
      <c r="E56" s="649"/>
      <c r="F56" s="649"/>
      <c r="G56" s="649"/>
      <c r="H56" s="649"/>
      <c r="I56" s="649"/>
    </row>
    <row r="57" spans="1:9" s="111" customFormat="1">
      <c r="A57" s="649"/>
      <c r="B57" s="649"/>
      <c r="C57" s="649"/>
      <c r="D57" s="649"/>
      <c r="E57" s="649"/>
      <c r="F57" s="649"/>
      <c r="G57" s="649"/>
      <c r="H57" s="649"/>
      <c r="I57" s="649"/>
    </row>
    <row r="58" spans="1:9" s="111" customFormat="1">
      <c r="A58" s="649"/>
      <c r="B58" s="649"/>
      <c r="C58" s="649"/>
      <c r="D58" s="649"/>
      <c r="E58" s="649"/>
      <c r="F58" s="649"/>
      <c r="G58" s="649"/>
      <c r="H58" s="649"/>
      <c r="I58" s="649"/>
    </row>
    <row r="59" spans="1:9" s="111" customFormat="1">
      <c r="A59" s="649"/>
      <c r="B59" s="649"/>
      <c r="C59" s="649"/>
      <c r="D59" s="649"/>
      <c r="E59" s="649"/>
      <c r="F59" s="649"/>
      <c r="G59" s="649"/>
      <c r="H59" s="649"/>
      <c r="I59" s="649"/>
    </row>
    <row r="60" spans="1:9" s="111" customFormat="1">
      <c r="A60" s="649"/>
      <c r="B60" s="649"/>
      <c r="C60" s="649"/>
      <c r="D60" s="649"/>
      <c r="E60" s="649"/>
      <c r="F60" s="649"/>
      <c r="G60" s="649"/>
      <c r="H60" s="649"/>
      <c r="I60" s="649"/>
    </row>
    <row r="61" spans="1:9" s="111" customFormat="1">
      <c r="A61" s="649"/>
      <c r="B61" s="649"/>
      <c r="C61" s="649"/>
      <c r="D61" s="649"/>
      <c r="E61" s="649"/>
      <c r="F61" s="649"/>
      <c r="G61" s="649"/>
      <c r="H61" s="649"/>
      <c r="I61" s="649"/>
    </row>
    <row r="62" spans="1:9" s="111" customFormat="1">
      <c r="A62" s="649"/>
      <c r="B62" s="649"/>
      <c r="C62" s="649"/>
      <c r="D62" s="649"/>
      <c r="E62" s="649"/>
      <c r="F62" s="649"/>
      <c r="G62" s="649"/>
      <c r="H62" s="649"/>
      <c r="I62" s="649"/>
    </row>
    <row r="63" spans="1:9" s="111" customFormat="1">
      <c r="A63" s="649"/>
      <c r="B63" s="649"/>
      <c r="C63" s="649"/>
      <c r="D63" s="649"/>
      <c r="E63" s="649"/>
      <c r="F63" s="649"/>
      <c r="G63" s="649"/>
      <c r="H63" s="649"/>
      <c r="I63" s="649"/>
    </row>
    <row r="64" spans="1:9" s="111" customFormat="1">
      <c r="A64" s="649"/>
      <c r="B64" s="649"/>
      <c r="C64" s="649"/>
      <c r="D64" s="649"/>
      <c r="E64" s="649"/>
      <c r="F64" s="649"/>
      <c r="G64" s="649"/>
      <c r="H64" s="649"/>
      <c r="I64" s="649"/>
    </row>
    <row r="65" spans="1:11" s="111" customFormat="1">
      <c r="A65" s="649"/>
      <c r="B65" s="649"/>
      <c r="C65" s="649"/>
      <c r="D65" s="649"/>
      <c r="E65" s="649"/>
      <c r="F65" s="649"/>
      <c r="G65" s="649"/>
      <c r="H65" s="649"/>
      <c r="I65" s="649"/>
    </row>
    <row r="66" spans="1:11" s="111" customFormat="1">
      <c r="A66" s="649"/>
      <c r="B66" s="649"/>
      <c r="C66" s="649"/>
      <c r="D66" s="649"/>
      <c r="E66" s="649"/>
      <c r="F66" s="649"/>
      <c r="G66" s="649"/>
      <c r="H66" s="649"/>
      <c r="I66" s="649"/>
    </row>
    <row r="67" spans="1:11" s="111" customFormat="1">
      <c r="A67" s="649"/>
      <c r="B67" s="649"/>
      <c r="C67" s="649"/>
      <c r="D67" s="649"/>
      <c r="E67" s="649"/>
      <c r="F67" s="649"/>
      <c r="G67" s="649"/>
      <c r="H67" s="649"/>
      <c r="I67" s="649"/>
    </row>
    <row r="68" spans="1:11" ht="18.75">
      <c r="A68" s="1912" t="s">
        <v>782</v>
      </c>
      <c r="B68" s="1912"/>
      <c r="C68" s="1912"/>
      <c r="D68" s="1912"/>
      <c r="E68" s="1912"/>
      <c r="F68" s="1912"/>
      <c r="G68" s="1912"/>
      <c r="H68" s="1912"/>
      <c r="I68" s="1912"/>
    </row>
    <row r="69" spans="1:11" ht="7.5" customHeight="1">
      <c r="A69" s="507"/>
      <c r="B69" s="508"/>
      <c r="C69" s="508"/>
      <c r="D69" s="508"/>
      <c r="E69" s="508"/>
      <c r="F69" s="508"/>
      <c r="G69" s="508"/>
      <c r="H69" s="508"/>
      <c r="I69" s="508"/>
    </row>
    <row r="70" spans="1:11">
      <c r="A70" s="509" t="s">
        <v>409</v>
      </c>
      <c r="B70" s="510"/>
      <c r="C70" s="510"/>
      <c r="D70" s="510" t="s">
        <v>410</v>
      </c>
      <c r="E70" s="510" t="s">
        <v>646</v>
      </c>
      <c r="F70" s="508"/>
      <c r="G70" s="508"/>
      <c r="H70" s="508"/>
      <c r="I70" s="508"/>
    </row>
    <row r="71" spans="1:11">
      <c r="A71" s="509" t="s">
        <v>411</v>
      </c>
      <c r="B71" s="510"/>
      <c r="C71" s="510"/>
      <c r="D71" s="510" t="s">
        <v>410</v>
      </c>
      <c r="E71" s="510" t="s">
        <v>836</v>
      </c>
      <c r="F71" s="508"/>
      <c r="G71" s="508"/>
      <c r="H71" s="508"/>
      <c r="I71" s="508"/>
    </row>
    <row r="72" spans="1:11">
      <c r="A72" s="509" t="s">
        <v>647</v>
      </c>
      <c r="B72" s="510"/>
      <c r="C72" s="510"/>
      <c r="D72" s="510" t="s">
        <v>410</v>
      </c>
      <c r="E72" s="510" t="s">
        <v>837</v>
      </c>
      <c r="F72" s="508"/>
      <c r="G72" s="508"/>
      <c r="H72" s="508"/>
      <c r="I72" s="508"/>
    </row>
    <row r="73" spans="1:11">
      <c r="A73" s="509" t="s">
        <v>783</v>
      </c>
      <c r="B73" s="510"/>
      <c r="C73" s="510"/>
      <c r="D73" s="510" t="s">
        <v>410</v>
      </c>
      <c r="E73" s="509">
        <v>2025</v>
      </c>
      <c r="F73" s="508"/>
      <c r="G73" s="508"/>
      <c r="H73" s="508"/>
      <c r="I73" s="508"/>
    </row>
    <row r="74" spans="1:11" ht="9.75" customHeight="1" thickBot="1">
      <c r="A74" s="507"/>
      <c r="B74" s="508"/>
      <c r="C74" s="508"/>
      <c r="D74" s="508"/>
      <c r="E74" s="508"/>
      <c r="F74" s="1913"/>
      <c r="G74" s="1913"/>
      <c r="H74" s="1913"/>
      <c r="I74" s="1913"/>
    </row>
    <row r="75" spans="1:11" ht="15" thickTop="1">
      <c r="A75" s="1897" t="s">
        <v>0</v>
      </c>
      <c r="B75" s="1899" t="s">
        <v>412</v>
      </c>
      <c r="C75" s="1899"/>
      <c r="D75" s="1899"/>
      <c r="E75" s="1899"/>
      <c r="F75" s="1901" t="s">
        <v>413</v>
      </c>
      <c r="G75" s="1899" t="s">
        <v>414</v>
      </c>
      <c r="H75" s="511" t="s">
        <v>133</v>
      </c>
      <c r="I75" s="512" t="s">
        <v>784</v>
      </c>
    </row>
    <row r="76" spans="1:11">
      <c r="A76" s="1898"/>
      <c r="B76" s="1900"/>
      <c r="C76" s="1900"/>
      <c r="D76" s="1900"/>
      <c r="E76" s="1900"/>
      <c r="F76" s="1902"/>
      <c r="G76" s="1900"/>
      <c r="H76" s="513" t="s">
        <v>785</v>
      </c>
      <c r="I76" s="514" t="s">
        <v>786</v>
      </c>
    </row>
    <row r="77" spans="1:11" ht="9" customHeight="1">
      <c r="A77" s="515"/>
      <c r="B77" s="516"/>
      <c r="C77" s="517"/>
      <c r="D77" s="517"/>
      <c r="E77" s="517"/>
      <c r="F77" s="518"/>
      <c r="G77" s="519"/>
      <c r="H77" s="516"/>
      <c r="I77" s="520"/>
    </row>
    <row r="78" spans="1:11">
      <c r="A78" s="521" t="s">
        <v>416</v>
      </c>
      <c r="B78" s="522"/>
      <c r="C78" s="523" t="s">
        <v>417</v>
      </c>
      <c r="D78" s="524"/>
      <c r="E78" s="524"/>
      <c r="F78" s="447"/>
      <c r="G78" s="525"/>
      <c r="H78" s="522"/>
      <c r="I78" s="526"/>
      <c r="J78" s="433"/>
    </row>
    <row r="79" spans="1:11" ht="15" thickBot="1">
      <c r="A79" s="521">
        <v>1</v>
      </c>
      <c r="B79" s="522"/>
      <c r="C79" s="524" t="s">
        <v>418</v>
      </c>
      <c r="D79" s="524"/>
      <c r="E79" s="527"/>
      <c r="F79" s="528">
        <v>1</v>
      </c>
      <c r="G79" s="529" t="s">
        <v>283</v>
      </c>
      <c r="H79" s="530">
        <f>Bahan!E9</f>
        <v>250000</v>
      </c>
      <c r="I79" s="531">
        <f>H79*F79</f>
        <v>250000</v>
      </c>
      <c r="J79" s="433"/>
    </row>
    <row r="80" spans="1:11" ht="15" thickTop="1">
      <c r="A80" s="532"/>
      <c r="B80" s="533"/>
      <c r="C80" s="534"/>
      <c r="D80" s="534"/>
      <c r="E80" s="535"/>
      <c r="F80" s="536"/>
      <c r="G80" s="537"/>
      <c r="H80" s="538"/>
      <c r="I80" s="539">
        <f>SUM(I79)</f>
        <v>250000</v>
      </c>
      <c r="J80" s="433"/>
      <c r="K80" s="94">
        <f>SUM(I79:I80)/2</f>
        <v>250000</v>
      </c>
    </row>
    <row r="81" spans="1:11" s="111" customFormat="1">
      <c r="A81" s="515"/>
      <c r="B81" s="516"/>
      <c r="C81" s="517"/>
      <c r="D81" s="517"/>
      <c r="E81" s="517"/>
      <c r="F81" s="540"/>
      <c r="G81" s="519"/>
      <c r="H81" s="516"/>
      <c r="I81" s="520"/>
      <c r="J81" s="433"/>
    </row>
    <row r="82" spans="1:11" s="111" customFormat="1">
      <c r="A82" s="541" t="s">
        <v>521</v>
      </c>
      <c r="B82" s="542"/>
      <c r="C82" s="543" t="s">
        <v>522</v>
      </c>
      <c r="D82" s="524"/>
      <c r="E82" s="524"/>
      <c r="F82" s="540"/>
      <c r="G82" s="525"/>
      <c r="H82" s="516"/>
      <c r="I82" s="520"/>
      <c r="J82" s="433"/>
    </row>
    <row r="83" spans="1:11" s="111" customFormat="1">
      <c r="A83" s="544">
        <v>1</v>
      </c>
      <c r="B83" s="545"/>
      <c r="C83" s="546" t="s">
        <v>523</v>
      </c>
      <c r="D83" s="547"/>
      <c r="E83" s="547"/>
      <c r="F83" s="548">
        <f>F217</f>
        <v>470.64000000000004</v>
      </c>
      <c r="G83" s="549" t="s">
        <v>450</v>
      </c>
      <c r="H83" s="548">
        <f>Upah!F28</f>
        <v>10500</v>
      </c>
      <c r="I83" s="550">
        <f>+H83*F83</f>
        <v>4941720</v>
      </c>
    </row>
    <row r="84" spans="1:11" s="111" customFormat="1">
      <c r="A84" s="551">
        <v>2</v>
      </c>
      <c r="B84" s="552"/>
      <c r="C84" s="546" t="s">
        <v>524</v>
      </c>
      <c r="D84" s="553"/>
      <c r="E84" s="553"/>
      <c r="F84" s="548">
        <f>F131+F132+F227</f>
        <v>283.85000000000002</v>
      </c>
      <c r="G84" s="549" t="s">
        <v>450</v>
      </c>
      <c r="H84" s="548">
        <f>Upah!F29</f>
        <v>5000</v>
      </c>
      <c r="I84" s="550">
        <f>+H84*F84</f>
        <v>1419250</v>
      </c>
    </row>
    <row r="85" spans="1:11" s="111" customFormat="1">
      <c r="A85" s="544">
        <v>3</v>
      </c>
      <c r="B85" s="552"/>
      <c r="C85" s="546" t="s">
        <v>597</v>
      </c>
      <c r="D85" s="553"/>
      <c r="E85" s="553"/>
      <c r="F85" s="548">
        <f>'Beckup Gedung'!I47+'Beckup Gedung'!I50+'Beckup Gedung'!I51+'Beckup Gedung'!I52+'Beckup Gedung'!I195+'Beckup Gedung'!I196+'Beckup Gedung'!I198+'Beckup Gedung'!I200+'Beckup Gedung'!I201+'Beckup Gedung'!I202</f>
        <v>26</v>
      </c>
      <c r="G85" s="549" t="s">
        <v>7</v>
      </c>
      <c r="H85" s="548">
        <f>Upah!F30</f>
        <v>20000</v>
      </c>
      <c r="I85" s="550">
        <f>+H85*F85</f>
        <v>520000</v>
      </c>
    </row>
    <row r="86" spans="1:11" s="111" customFormat="1">
      <c r="A86" s="544">
        <v>4</v>
      </c>
      <c r="B86" s="554"/>
      <c r="C86" s="555" t="s">
        <v>598</v>
      </c>
      <c r="D86" s="553"/>
      <c r="E86" s="553"/>
      <c r="F86" s="548">
        <f>'Rab Gedung'!F126+'Rab Gedung'!F207</f>
        <v>169.125</v>
      </c>
      <c r="G86" s="549" t="s">
        <v>450</v>
      </c>
      <c r="H86" s="548">
        <f>Upah!F31</f>
        <v>10000</v>
      </c>
      <c r="I86" s="550">
        <f>+H86*F86</f>
        <v>1691250</v>
      </c>
    </row>
    <row r="87" spans="1:11" s="111" customFormat="1" ht="15" thickBot="1">
      <c r="A87" s="551">
        <v>5</v>
      </c>
      <c r="B87" s="554"/>
      <c r="C87" s="555" t="s">
        <v>693</v>
      </c>
      <c r="D87" s="553"/>
      <c r="E87" s="556"/>
      <c r="F87" s="557">
        <v>8</v>
      </c>
      <c r="G87" s="558" t="s">
        <v>283</v>
      </c>
      <c r="H87" s="557">
        <f>Upah!F33</f>
        <v>150000</v>
      </c>
      <c r="I87" s="559">
        <f>+H87*F87</f>
        <v>1200000</v>
      </c>
    </row>
    <row r="88" spans="1:11" s="111" customFormat="1" ht="15" thickTop="1">
      <c r="A88" s="560"/>
      <c r="B88" s="561"/>
      <c r="C88" s="562"/>
      <c r="D88" s="562"/>
      <c r="E88" s="563"/>
      <c r="F88" s="564"/>
      <c r="G88" s="565"/>
      <c r="H88" s="566"/>
      <c r="I88" s="567">
        <f>SUM(I83:I87)</f>
        <v>9772220</v>
      </c>
      <c r="K88" s="94">
        <f>SUM(I83:I88)/2</f>
        <v>9772220</v>
      </c>
    </row>
    <row r="89" spans="1:11" s="111" customFormat="1" ht="10.5" customHeight="1">
      <c r="A89" s="568"/>
      <c r="B89" s="569"/>
      <c r="C89" s="570"/>
      <c r="D89" s="570"/>
      <c r="E89" s="570"/>
      <c r="F89" s="571"/>
      <c r="G89" s="572"/>
      <c r="H89" s="573"/>
      <c r="I89" s="574"/>
    </row>
    <row r="90" spans="1:11">
      <c r="A90" s="575">
        <v>1</v>
      </c>
      <c r="B90" s="576"/>
      <c r="C90" s="577" t="s">
        <v>419</v>
      </c>
      <c r="D90" s="578"/>
      <c r="E90" s="578"/>
      <c r="F90" s="579"/>
      <c r="G90" s="525"/>
      <c r="H90" s="516"/>
      <c r="I90" s="520"/>
      <c r="J90" s="433"/>
    </row>
    <row r="91" spans="1:11">
      <c r="A91" s="580">
        <v>1</v>
      </c>
      <c r="B91" s="576"/>
      <c r="C91" s="581" t="s">
        <v>420</v>
      </c>
      <c r="D91" s="578"/>
      <c r="E91" s="578"/>
      <c r="F91" s="579"/>
      <c r="G91" s="525"/>
      <c r="H91" s="516"/>
      <c r="I91" s="520"/>
      <c r="J91" s="433"/>
    </row>
    <row r="92" spans="1:11">
      <c r="A92" s="580"/>
      <c r="B92" s="576"/>
      <c r="C92" s="581"/>
      <c r="D92" s="582" t="s">
        <v>421</v>
      </c>
      <c r="E92" s="581" t="s">
        <v>787</v>
      </c>
      <c r="F92" s="583">
        <v>1</v>
      </c>
      <c r="G92" s="584" t="s">
        <v>32</v>
      </c>
      <c r="H92" s="525">
        <f>Bahan!E13</f>
        <v>2000000</v>
      </c>
      <c r="I92" s="585">
        <f>+H92*F92</f>
        <v>2000000</v>
      </c>
      <c r="J92" s="433"/>
    </row>
    <row r="93" spans="1:11">
      <c r="A93" s="580">
        <v>2</v>
      </c>
      <c r="B93" s="576"/>
      <c r="C93" s="586" t="s">
        <v>423</v>
      </c>
      <c r="D93" s="587"/>
      <c r="E93" s="588"/>
      <c r="F93" s="589"/>
      <c r="G93" s="584"/>
      <c r="H93" s="525">
        <f>Bahan!E14</f>
        <v>0</v>
      </c>
      <c r="I93" s="585"/>
      <c r="J93" s="433"/>
    </row>
    <row r="94" spans="1:11">
      <c r="A94" s="590"/>
      <c r="B94" s="591"/>
      <c r="C94" s="586"/>
      <c r="D94" s="587" t="s">
        <v>421</v>
      </c>
      <c r="E94" s="587" t="s">
        <v>424</v>
      </c>
      <c r="F94" s="583">
        <v>1</v>
      </c>
      <c r="G94" s="592" t="s">
        <v>425</v>
      </c>
      <c r="H94" s="525">
        <f>Bahan!E15</f>
        <v>150000</v>
      </c>
      <c r="I94" s="585">
        <f>+H94*F94</f>
        <v>150000</v>
      </c>
      <c r="J94" s="433"/>
    </row>
    <row r="95" spans="1:11">
      <c r="A95" s="590">
        <v>3</v>
      </c>
      <c r="B95" s="591"/>
      <c r="C95" s="586" t="s">
        <v>426</v>
      </c>
      <c r="D95" s="587"/>
      <c r="E95" s="588"/>
      <c r="F95" s="593"/>
      <c r="G95" s="592"/>
      <c r="H95" s="525">
        <f>Bahan!E16</f>
        <v>0</v>
      </c>
      <c r="I95" s="585"/>
      <c r="J95" s="433"/>
    </row>
    <row r="96" spans="1:11">
      <c r="A96" s="590"/>
      <c r="B96" s="591"/>
      <c r="C96" s="586"/>
      <c r="D96" s="587" t="s">
        <v>421</v>
      </c>
      <c r="E96" s="587" t="s">
        <v>427</v>
      </c>
      <c r="F96" s="583">
        <v>12</v>
      </c>
      <c r="G96" s="592" t="s">
        <v>7</v>
      </c>
      <c r="H96" s="525">
        <f>Bahan!E17</f>
        <v>28000</v>
      </c>
      <c r="I96" s="585">
        <f t="shared" ref="I96:I101" si="0">+H96*F96</f>
        <v>336000</v>
      </c>
      <c r="J96" s="433"/>
    </row>
    <row r="97" spans="1:11">
      <c r="A97" s="590"/>
      <c r="B97" s="591"/>
      <c r="C97" s="586"/>
      <c r="D97" s="587" t="s">
        <v>428</v>
      </c>
      <c r="E97" s="587" t="s">
        <v>788</v>
      </c>
      <c r="F97" s="583">
        <v>1</v>
      </c>
      <c r="G97" s="592" t="s">
        <v>7</v>
      </c>
      <c r="H97" s="525">
        <f>Bahan!E18</f>
        <v>100000</v>
      </c>
      <c r="I97" s="585">
        <f t="shared" si="0"/>
        <v>100000</v>
      </c>
      <c r="J97" s="433"/>
    </row>
    <row r="98" spans="1:11">
      <c r="A98" s="590"/>
      <c r="B98" s="591"/>
      <c r="C98" s="586"/>
      <c r="D98" s="587" t="s">
        <v>429</v>
      </c>
      <c r="E98" s="587" t="s">
        <v>430</v>
      </c>
      <c r="F98" s="583">
        <f>F96/5</f>
        <v>2.4</v>
      </c>
      <c r="G98" s="592" t="s">
        <v>36</v>
      </c>
      <c r="H98" s="525">
        <f>Bahan!E19</f>
        <v>25000</v>
      </c>
      <c r="I98" s="585">
        <f t="shared" si="0"/>
        <v>60000</v>
      </c>
      <c r="J98" s="433"/>
    </row>
    <row r="99" spans="1:11">
      <c r="A99" s="590"/>
      <c r="B99" s="591"/>
      <c r="C99" s="586"/>
      <c r="D99" s="587" t="s">
        <v>431</v>
      </c>
      <c r="E99" s="587" t="s">
        <v>432</v>
      </c>
      <c r="F99" s="583">
        <f>F96</f>
        <v>12</v>
      </c>
      <c r="G99" s="592" t="s">
        <v>146</v>
      </c>
      <c r="H99" s="525">
        <f>Bahan!E20</f>
        <v>5000</v>
      </c>
      <c r="I99" s="585">
        <f t="shared" si="0"/>
        <v>60000</v>
      </c>
      <c r="J99" s="433"/>
    </row>
    <row r="100" spans="1:11">
      <c r="A100" s="590"/>
      <c r="B100" s="591"/>
      <c r="C100" s="586"/>
      <c r="D100" s="587" t="s">
        <v>433</v>
      </c>
      <c r="E100" s="587" t="s">
        <v>434</v>
      </c>
      <c r="F100" s="583">
        <f>F99</f>
        <v>12</v>
      </c>
      <c r="G100" s="592" t="s">
        <v>146</v>
      </c>
      <c r="H100" s="525">
        <f>Bahan!E21</f>
        <v>65000</v>
      </c>
      <c r="I100" s="585">
        <f t="shared" si="0"/>
        <v>780000</v>
      </c>
      <c r="J100" s="433"/>
    </row>
    <row r="101" spans="1:11">
      <c r="A101" s="590"/>
      <c r="B101" s="591"/>
      <c r="C101" s="586"/>
      <c r="D101" s="587" t="s">
        <v>435</v>
      </c>
      <c r="E101" s="587" t="s">
        <v>436</v>
      </c>
      <c r="F101" s="583">
        <f>F100</f>
        <v>12</v>
      </c>
      <c r="G101" s="592" t="s">
        <v>7</v>
      </c>
      <c r="H101" s="525">
        <f>Bahan!E22</f>
        <v>15000</v>
      </c>
      <c r="I101" s="585">
        <f t="shared" si="0"/>
        <v>180000</v>
      </c>
      <c r="J101" s="433"/>
    </row>
    <row r="102" spans="1:11">
      <c r="A102" s="590">
        <v>4</v>
      </c>
      <c r="B102" s="591"/>
      <c r="C102" s="586" t="s">
        <v>437</v>
      </c>
      <c r="D102" s="587"/>
      <c r="E102" s="588"/>
      <c r="F102" s="593"/>
      <c r="G102" s="592"/>
      <c r="H102" s="525">
        <f>Bahan!E23</f>
        <v>0</v>
      </c>
      <c r="I102" s="585"/>
      <c r="J102" s="433"/>
    </row>
    <row r="103" spans="1:11">
      <c r="A103" s="590"/>
      <c r="B103" s="591"/>
      <c r="C103" s="586"/>
      <c r="D103" s="587" t="s">
        <v>421</v>
      </c>
      <c r="E103" s="587" t="s">
        <v>438</v>
      </c>
      <c r="F103" s="583">
        <v>1</v>
      </c>
      <c r="G103" s="592" t="s">
        <v>439</v>
      </c>
      <c r="H103" s="525">
        <f>Bahan!E24</f>
        <v>1650000</v>
      </c>
      <c r="I103" s="585">
        <f>+H103*F103</f>
        <v>1650000</v>
      </c>
      <c r="J103" s="433"/>
    </row>
    <row r="104" spans="1:11">
      <c r="A104" s="590">
        <v>5</v>
      </c>
      <c r="B104" s="591"/>
      <c r="C104" s="586" t="s">
        <v>440</v>
      </c>
      <c r="D104" s="587"/>
      <c r="E104" s="588"/>
      <c r="F104" s="583"/>
      <c r="G104" s="592"/>
      <c r="H104" s="525">
        <f>Bahan!E25</f>
        <v>0</v>
      </c>
      <c r="I104" s="595"/>
      <c r="J104" s="433"/>
    </row>
    <row r="105" spans="1:11">
      <c r="A105" s="590"/>
      <c r="B105" s="591"/>
      <c r="C105" s="586"/>
      <c r="D105" s="587" t="s">
        <v>421</v>
      </c>
      <c r="E105" s="587" t="s">
        <v>441</v>
      </c>
      <c r="F105" s="583">
        <v>1.5</v>
      </c>
      <c r="G105" s="592" t="s">
        <v>442</v>
      </c>
      <c r="H105" s="525">
        <f>Bahan!E26</f>
        <v>4000000</v>
      </c>
      <c r="I105" s="585">
        <f>+H105*F105</f>
        <v>6000000</v>
      </c>
      <c r="J105" s="433"/>
    </row>
    <row r="106" spans="1:11">
      <c r="A106" s="590">
        <v>6</v>
      </c>
      <c r="B106" s="591"/>
      <c r="C106" s="586" t="s">
        <v>443</v>
      </c>
      <c r="D106" s="587"/>
      <c r="E106" s="588"/>
      <c r="F106" s="583">
        <v>1</v>
      </c>
      <c r="G106" s="592"/>
      <c r="H106" s="525">
        <f>Bahan!E27</f>
        <v>0</v>
      </c>
      <c r="I106" s="595"/>
      <c r="J106" s="433"/>
    </row>
    <row r="107" spans="1:11">
      <c r="A107" s="590"/>
      <c r="B107" s="591"/>
      <c r="C107" s="586"/>
      <c r="D107" s="596" t="s">
        <v>421</v>
      </c>
      <c r="E107" s="587" t="s">
        <v>445</v>
      </c>
      <c r="F107" s="583">
        <v>1</v>
      </c>
      <c r="G107" s="592" t="s">
        <v>123</v>
      </c>
      <c r="H107" s="525">
        <f>Bahan!E28</f>
        <v>241920</v>
      </c>
      <c r="I107" s="585">
        <f>+H107*F107</f>
        <v>241920</v>
      </c>
      <c r="J107" s="433"/>
    </row>
    <row r="108" spans="1:11">
      <c r="A108" s="590">
        <v>7</v>
      </c>
      <c r="B108" s="591"/>
      <c r="C108" s="597" t="s">
        <v>446</v>
      </c>
      <c r="D108" s="596"/>
      <c r="E108" s="596"/>
      <c r="F108" s="583">
        <v>3</v>
      </c>
      <c r="G108" s="592" t="s">
        <v>7</v>
      </c>
      <c r="H108" s="525">
        <f>Bahan!E29</f>
        <v>75000</v>
      </c>
      <c r="I108" s="585">
        <f>+H108*F108</f>
        <v>225000</v>
      </c>
      <c r="J108" s="433"/>
    </row>
    <row r="109" spans="1:11">
      <c r="A109" s="590">
        <v>8</v>
      </c>
      <c r="B109" s="591"/>
      <c r="C109" s="597" t="s">
        <v>447</v>
      </c>
      <c r="D109" s="596"/>
      <c r="E109" s="596"/>
      <c r="F109" s="447"/>
      <c r="G109" s="592"/>
      <c r="H109" s="594"/>
      <c r="I109" s="585"/>
      <c r="J109" s="433"/>
    </row>
    <row r="110" spans="1:11" ht="15" thickBot="1">
      <c r="A110" s="590">
        <v>9</v>
      </c>
      <c r="B110" s="591"/>
      <c r="C110" s="597" t="s">
        <v>448</v>
      </c>
      <c r="D110" s="596"/>
      <c r="E110" s="598"/>
      <c r="F110" s="528"/>
      <c r="G110" s="599"/>
      <c r="H110" s="600"/>
      <c r="I110" s="601"/>
      <c r="J110" s="433"/>
    </row>
    <row r="111" spans="1:11" ht="15" thickTop="1">
      <c r="A111" s="532"/>
      <c r="B111" s="533"/>
      <c r="C111" s="534"/>
      <c r="D111" s="534"/>
      <c r="E111" s="535" t="s">
        <v>974</v>
      </c>
      <c r="F111" s="602"/>
      <c r="G111" s="603"/>
      <c r="H111" s="603"/>
      <c r="I111" s="604">
        <f>SUM(I92:I110)</f>
        <v>11782920</v>
      </c>
      <c r="J111" s="433"/>
      <c r="K111" s="94">
        <f>SUM(I91:I111)/2</f>
        <v>11782920</v>
      </c>
    </row>
    <row r="112" spans="1:11" ht="9.75" customHeight="1">
      <c r="A112" s="515"/>
      <c r="B112" s="516"/>
      <c r="C112" s="517"/>
      <c r="D112" s="517"/>
      <c r="E112" s="517"/>
      <c r="F112" s="540"/>
      <c r="G112" s="519"/>
      <c r="H112" s="516"/>
      <c r="I112" s="520"/>
      <c r="J112" s="433"/>
    </row>
    <row r="113" spans="1:10">
      <c r="A113" s="605" t="s">
        <v>262</v>
      </c>
      <c r="B113" s="606"/>
      <c r="C113" s="523" t="s">
        <v>789</v>
      </c>
      <c r="D113" s="524"/>
      <c r="E113" s="524"/>
      <c r="F113" s="447"/>
      <c r="G113" s="525"/>
      <c r="H113" s="522"/>
      <c r="I113" s="526"/>
      <c r="J113" s="433"/>
    </row>
    <row r="114" spans="1:10">
      <c r="A114" s="605" t="s">
        <v>444</v>
      </c>
      <c r="B114" s="606"/>
      <c r="C114" s="523" t="s">
        <v>790</v>
      </c>
      <c r="D114" s="524"/>
      <c r="E114" s="607"/>
      <c r="F114" s="524"/>
      <c r="G114" s="525"/>
      <c r="H114" s="522"/>
      <c r="I114" s="526"/>
      <c r="J114" s="433"/>
    </row>
    <row r="115" spans="1:10">
      <c r="A115" s="521">
        <v>1</v>
      </c>
      <c r="B115" s="522"/>
      <c r="C115" s="524" t="s">
        <v>791</v>
      </c>
      <c r="D115" s="524"/>
      <c r="E115" s="607"/>
      <c r="F115" s="583">
        <f>'Beckup Gedung'!J33</f>
        <v>1.9800000000000002</v>
      </c>
      <c r="G115" s="525" t="str">
        <f>G116</f>
        <v>m²</v>
      </c>
      <c r="H115" s="522">
        <f>'Rek Anal'!E80</f>
        <v>143302.5</v>
      </c>
      <c r="I115" s="608">
        <f>H115*F115</f>
        <v>283738.95</v>
      </c>
      <c r="J115" s="433"/>
    </row>
    <row r="116" spans="1:10">
      <c r="A116" s="521">
        <v>2</v>
      </c>
      <c r="B116" s="522"/>
      <c r="C116" s="524" t="s">
        <v>792</v>
      </c>
      <c r="D116" s="524"/>
      <c r="E116" s="607"/>
      <c r="F116" s="583">
        <f>'Beckup Gedung'!J34</f>
        <v>3.9600000000000004</v>
      </c>
      <c r="G116" s="579" t="s">
        <v>450</v>
      </c>
      <c r="H116" s="447">
        <f>'Rek Anal'!E83</f>
        <v>62257.58</v>
      </c>
      <c r="I116" s="526">
        <f>H116*F116</f>
        <v>246540.01680000004</v>
      </c>
      <c r="J116" s="433"/>
    </row>
    <row r="117" spans="1:10">
      <c r="A117" s="521">
        <v>3</v>
      </c>
      <c r="B117" s="522"/>
      <c r="C117" s="524" t="s">
        <v>793</v>
      </c>
      <c r="D117" s="524"/>
      <c r="E117" s="607"/>
      <c r="F117" s="583">
        <f>'Beckup Gedung'!J35</f>
        <v>3.9600000000000004</v>
      </c>
      <c r="G117" s="609" t="s">
        <v>450</v>
      </c>
      <c r="H117" s="610">
        <f>'Rek Anal'!E84</f>
        <v>51450.85</v>
      </c>
      <c r="I117" s="611">
        <f>H117*F117</f>
        <v>203745.36600000001</v>
      </c>
      <c r="J117" s="433"/>
    </row>
    <row r="118" spans="1:10">
      <c r="A118" s="605"/>
      <c r="B118" s="606"/>
      <c r="C118" s="523"/>
      <c r="D118" s="524"/>
      <c r="E118" s="524"/>
      <c r="F118" s="447"/>
      <c r="G118" s="525"/>
      <c r="H118" s="516"/>
      <c r="I118" s="520">
        <f>SUM(I115:I117)</f>
        <v>734024.33280000009</v>
      </c>
      <c r="J118" s="433"/>
    </row>
    <row r="119" spans="1:10">
      <c r="A119" s="605" t="s">
        <v>681</v>
      </c>
      <c r="B119" s="606"/>
      <c r="C119" s="523" t="s">
        <v>469</v>
      </c>
      <c r="D119" s="524"/>
      <c r="E119" s="607"/>
      <c r="F119" s="447"/>
      <c r="G119" s="525"/>
      <c r="H119" s="447"/>
      <c r="I119" s="526"/>
      <c r="J119" s="433"/>
    </row>
    <row r="120" spans="1:10">
      <c r="A120" s="521">
        <v>1</v>
      </c>
      <c r="B120" s="522"/>
      <c r="C120" s="524" t="s">
        <v>943</v>
      </c>
      <c r="D120" s="524"/>
      <c r="E120" s="607"/>
      <c r="F120" s="583">
        <f>'Beckup Gedung'!J38</f>
        <v>27.900000000000002</v>
      </c>
      <c r="G120" s="525" t="s">
        <v>453</v>
      </c>
      <c r="H120" s="447">
        <f>'Rek Anal'!E121</f>
        <v>257796</v>
      </c>
      <c r="I120" s="608">
        <f t="shared" ref="I120:I124" si="1">H120*F120</f>
        <v>7192508.4000000004</v>
      </c>
      <c r="J120" s="433"/>
    </row>
    <row r="121" spans="1:10">
      <c r="A121" s="521">
        <v>2</v>
      </c>
      <c r="B121" s="522"/>
      <c r="C121" s="524" t="s">
        <v>898</v>
      </c>
      <c r="D121" s="524"/>
      <c r="E121" s="607"/>
      <c r="F121" s="583">
        <f>'Beckup Gedung'!J47</f>
        <v>6.3040000000000003</v>
      </c>
      <c r="G121" s="525" t="s">
        <v>450</v>
      </c>
      <c r="H121" s="447">
        <f>'Rek Anal'!E115+'Rek Anal'!E139</f>
        <v>1267699.4000000001</v>
      </c>
      <c r="I121" s="608">
        <f t="shared" si="1"/>
        <v>7991577.0176000008</v>
      </c>
      <c r="J121" s="433"/>
    </row>
    <row r="122" spans="1:10">
      <c r="A122" s="521">
        <v>3</v>
      </c>
      <c r="B122" s="522"/>
      <c r="C122" s="524" t="s">
        <v>795</v>
      </c>
      <c r="D122" s="524"/>
      <c r="E122" s="607"/>
      <c r="F122" s="583">
        <f>'Beckup Gedung'!J48</f>
        <v>6.3040000000000003</v>
      </c>
      <c r="G122" s="525" t="s">
        <v>450</v>
      </c>
      <c r="H122" s="447">
        <f>'Rek Anal'!E116</f>
        <v>1139325</v>
      </c>
      <c r="I122" s="608">
        <f t="shared" si="1"/>
        <v>7182304.8000000007</v>
      </c>
      <c r="J122" s="433"/>
    </row>
    <row r="123" spans="1:10">
      <c r="A123" s="521">
        <v>4</v>
      </c>
      <c r="B123" s="522"/>
      <c r="C123" s="524" t="s">
        <v>796</v>
      </c>
      <c r="D123" s="524"/>
      <c r="E123" s="607"/>
      <c r="F123" s="583">
        <f>'Beckup Gedung'!J52</f>
        <v>2.4428000000000001</v>
      </c>
      <c r="G123" s="525" t="s">
        <v>450</v>
      </c>
      <c r="H123" s="447">
        <f>'Rek Anal'!E117</f>
        <v>881826</v>
      </c>
      <c r="I123" s="608">
        <f>H123*F123</f>
        <v>2154124.5528000002</v>
      </c>
      <c r="J123" s="433"/>
    </row>
    <row r="124" spans="1:10">
      <c r="A124" s="521">
        <v>5</v>
      </c>
      <c r="B124" s="522"/>
      <c r="C124" s="524" t="s">
        <v>797</v>
      </c>
      <c r="D124" s="524"/>
      <c r="E124" s="607"/>
      <c r="F124" s="583">
        <f>'Beckup Gedung'!J53</f>
        <v>20.629999999999995</v>
      </c>
      <c r="G124" s="525" t="s">
        <v>450</v>
      </c>
      <c r="H124" s="447">
        <f>'Rek Anal'!E138</f>
        <v>271342.50000000006</v>
      </c>
      <c r="I124" s="526">
        <f t="shared" si="1"/>
        <v>5597795.7750000004</v>
      </c>
      <c r="J124" s="433"/>
    </row>
    <row r="125" spans="1:10" s="111" customFormat="1">
      <c r="A125" s="521">
        <v>6</v>
      </c>
      <c r="B125" s="522"/>
      <c r="C125" s="524" t="s">
        <v>922</v>
      </c>
      <c r="D125" s="524"/>
      <c r="E125" s="607"/>
      <c r="F125" s="583">
        <f>'Beckup Gedung'!J57</f>
        <v>95.84</v>
      </c>
      <c r="G125" s="525" t="s">
        <v>453</v>
      </c>
      <c r="H125" s="447">
        <f>'Rek Anal'!E70</f>
        <v>32407.1</v>
      </c>
      <c r="I125" s="526">
        <f t="shared" ref="I125" si="2">H125*F125</f>
        <v>3105896.4640000002</v>
      </c>
      <c r="J125" s="433"/>
    </row>
    <row r="126" spans="1:10">
      <c r="A126" s="521">
        <v>7</v>
      </c>
      <c r="B126" s="522"/>
      <c r="C126" s="524" t="s">
        <v>977</v>
      </c>
      <c r="D126" s="524"/>
      <c r="E126" s="607"/>
      <c r="F126" s="583">
        <f>'Beckup Gedung'!J60</f>
        <v>76.724000000000004</v>
      </c>
      <c r="G126" s="525" t="s">
        <v>450</v>
      </c>
      <c r="H126" s="612">
        <f>'Rek Anal'!E68*2</f>
        <v>171515.95999999996</v>
      </c>
      <c r="I126" s="611">
        <f>H126*F126</f>
        <v>13159390.515039997</v>
      </c>
      <c r="J126" s="433"/>
    </row>
    <row r="127" spans="1:10">
      <c r="A127" s="521"/>
      <c r="B127" s="522"/>
      <c r="C127" s="524"/>
      <c r="D127" s="524"/>
      <c r="E127" s="607"/>
      <c r="F127" s="540"/>
      <c r="G127" s="525"/>
      <c r="H127" s="540"/>
      <c r="I127" s="520">
        <f>SUM(I120:I126)</f>
        <v>46383597.524439998</v>
      </c>
      <c r="J127" s="433"/>
    </row>
    <row r="128" spans="1:10">
      <c r="A128" s="605" t="s">
        <v>470</v>
      </c>
      <c r="B128" s="606"/>
      <c r="C128" s="523" t="s">
        <v>799</v>
      </c>
      <c r="D128" s="524"/>
      <c r="E128" s="607"/>
      <c r="F128" s="447"/>
      <c r="G128" s="525"/>
      <c r="H128" s="447"/>
      <c r="I128" s="526"/>
      <c r="J128" s="433"/>
    </row>
    <row r="129" spans="1:10" s="111" customFormat="1">
      <c r="A129" s="521">
        <v>1</v>
      </c>
      <c r="B129" s="522"/>
      <c r="C129" s="524" t="s">
        <v>1039</v>
      </c>
      <c r="D129" s="524"/>
      <c r="E129" s="607"/>
      <c r="F129" s="583">
        <f>'Beckup Gedung'!J64</f>
        <v>45.732500000000002</v>
      </c>
      <c r="G129" s="525" t="s">
        <v>450</v>
      </c>
      <c r="H129" s="447">
        <f>H227</f>
        <v>254324.84</v>
      </c>
      <c r="I129" s="627">
        <f>H129*F129</f>
        <v>11630910.745300001</v>
      </c>
      <c r="J129" s="433"/>
    </row>
    <row r="130" spans="1:10" s="111" customFormat="1">
      <c r="A130" s="521">
        <v>2</v>
      </c>
      <c r="B130" s="522"/>
      <c r="C130" s="524" t="s">
        <v>1040</v>
      </c>
      <c r="D130" s="524"/>
      <c r="E130" s="607"/>
      <c r="F130" s="583">
        <f>'Beckup Gedung'!J69</f>
        <v>17.399999999999999</v>
      </c>
      <c r="G130" s="525" t="s">
        <v>20</v>
      </c>
      <c r="H130" s="447">
        <f>H228</f>
        <v>45513.93</v>
      </c>
      <c r="I130" s="627">
        <f>H130*F130</f>
        <v>791942.38199999998</v>
      </c>
      <c r="J130" s="433"/>
    </row>
    <row r="131" spans="1:10" s="111" customFormat="1">
      <c r="A131" s="521">
        <v>1</v>
      </c>
      <c r="B131" s="522"/>
      <c r="C131" s="524" t="s">
        <v>962</v>
      </c>
      <c r="D131" s="524"/>
      <c r="E131" s="607"/>
      <c r="F131" s="583">
        <f>'Beckup Gedung'!J73</f>
        <v>16.574999999999999</v>
      </c>
      <c r="G131" s="525" t="s">
        <v>450</v>
      </c>
      <c r="H131" s="447">
        <f>H132</f>
        <v>269545.90666666668</v>
      </c>
      <c r="I131" s="608">
        <f t="shared" ref="I131" si="3">H131*F131</f>
        <v>4467723.4029999999</v>
      </c>
      <c r="J131" s="433"/>
    </row>
    <row r="132" spans="1:10" s="111" customFormat="1">
      <c r="A132" s="521">
        <v>2</v>
      </c>
      <c r="B132" s="522"/>
      <c r="C132" s="524" t="s">
        <v>908</v>
      </c>
      <c r="D132" s="524"/>
      <c r="E132" s="607"/>
      <c r="F132" s="583">
        <f>'Beckup Gedung'!J74</f>
        <v>15.057500000000005</v>
      </c>
      <c r="G132" s="525" t="s">
        <v>450</v>
      </c>
      <c r="H132" s="447">
        <f>+'Rek Anal'!E101</f>
        <v>269545.90666666668</v>
      </c>
      <c r="I132" s="608">
        <f t="shared" ref="I132" si="4">H132*F132</f>
        <v>4058687.4896333348</v>
      </c>
      <c r="J132" s="433"/>
    </row>
    <row r="133" spans="1:10" s="111" customFormat="1">
      <c r="A133" s="521">
        <v>3</v>
      </c>
      <c r="B133" s="522"/>
      <c r="C133" s="524" t="s">
        <v>978</v>
      </c>
      <c r="D133" s="524"/>
      <c r="E133" s="607"/>
      <c r="F133" s="583">
        <f>'Beckup Gedung'!J82</f>
        <v>37.6</v>
      </c>
      <c r="G133" s="525" t="str">
        <f>G125</f>
        <v>m¹</v>
      </c>
      <c r="H133" s="612">
        <f>'Rek Anal'!E103</f>
        <v>54923</v>
      </c>
      <c r="I133" s="611">
        <f t="shared" ref="I133" si="5">H133*F133</f>
        <v>2065104.8</v>
      </c>
      <c r="J133" s="433"/>
    </row>
    <row r="134" spans="1:10" ht="15" thickBot="1">
      <c r="A134" s="613"/>
      <c r="B134" s="530"/>
      <c r="C134" s="527"/>
      <c r="D134" s="527"/>
      <c r="E134" s="614"/>
      <c r="F134" s="528"/>
      <c r="G134" s="529"/>
      <c r="H134" s="615"/>
      <c r="I134" s="616">
        <f>SUM(I129:I133)</f>
        <v>23014368.819933336</v>
      </c>
      <c r="J134" s="433"/>
    </row>
    <row r="135" spans="1:10" s="9" customFormat="1" ht="18" customHeight="1" thickTop="1">
      <c r="A135" s="507"/>
      <c r="B135" s="508"/>
      <c r="C135" s="508"/>
      <c r="D135" s="508"/>
      <c r="E135" s="508"/>
      <c r="F135" s="508"/>
      <c r="G135" s="617"/>
      <c r="H135" s="508"/>
      <c r="I135" s="508"/>
      <c r="J135" s="503"/>
    </row>
    <row r="136" spans="1:10" s="9" customFormat="1" ht="18" customHeight="1">
      <c r="A136" s="507"/>
      <c r="B136" s="508"/>
      <c r="C136" s="508"/>
      <c r="D136" s="508"/>
      <c r="E136" s="508"/>
      <c r="F136" s="508"/>
      <c r="G136" s="617"/>
      <c r="H136" s="508"/>
      <c r="I136" s="508"/>
      <c r="J136" s="503"/>
    </row>
    <row r="137" spans="1:10" s="9" customFormat="1" ht="18" customHeight="1">
      <c r="A137" s="507"/>
      <c r="B137" s="508"/>
      <c r="C137" s="508"/>
      <c r="D137" s="508"/>
      <c r="E137" s="508"/>
      <c r="F137" s="508"/>
      <c r="G137" s="617"/>
      <c r="H137" s="508"/>
      <c r="I137" s="508"/>
      <c r="J137" s="503"/>
    </row>
    <row r="138" spans="1:10" s="9" customFormat="1" ht="18" customHeight="1" thickBot="1">
      <c r="A138" s="507"/>
      <c r="B138" s="508"/>
      <c r="C138" s="508"/>
      <c r="D138" s="508"/>
      <c r="E138" s="508"/>
      <c r="F138" s="508"/>
      <c r="G138" s="617"/>
      <c r="H138" s="508"/>
      <c r="I138" s="508"/>
      <c r="J138" s="503"/>
    </row>
    <row r="139" spans="1:10" s="111" customFormat="1" ht="13.5" customHeight="1" thickTop="1">
      <c r="A139" s="1897" t="s">
        <v>0</v>
      </c>
      <c r="B139" s="1899" t="s">
        <v>412</v>
      </c>
      <c r="C139" s="1899"/>
      <c r="D139" s="1899"/>
      <c r="E139" s="1899"/>
      <c r="F139" s="1901" t="s">
        <v>413</v>
      </c>
      <c r="G139" s="1899" t="s">
        <v>414</v>
      </c>
      <c r="H139" s="511" t="s">
        <v>133</v>
      </c>
      <c r="I139" s="512" t="s">
        <v>784</v>
      </c>
      <c r="J139" s="433"/>
    </row>
    <row r="140" spans="1:10" s="111" customFormat="1" ht="13.5" customHeight="1">
      <c r="A140" s="1898"/>
      <c r="B140" s="1900"/>
      <c r="C140" s="1900"/>
      <c r="D140" s="1900"/>
      <c r="E140" s="1900"/>
      <c r="F140" s="1902"/>
      <c r="G140" s="1900"/>
      <c r="H140" s="513" t="s">
        <v>785</v>
      </c>
      <c r="I140" s="514" t="s">
        <v>786</v>
      </c>
      <c r="J140" s="433"/>
    </row>
    <row r="141" spans="1:10" s="111" customFormat="1" ht="13.5" customHeight="1">
      <c r="A141" s="521"/>
      <c r="B141" s="522"/>
      <c r="C141" s="524"/>
      <c r="D141" s="524"/>
      <c r="E141" s="607"/>
      <c r="F141" s="447"/>
      <c r="G141" s="525"/>
      <c r="H141" s="540"/>
      <c r="I141" s="520"/>
      <c r="J141" s="433"/>
    </row>
    <row r="142" spans="1:10" ht="13.5" customHeight="1">
      <c r="A142" s="605" t="s">
        <v>471</v>
      </c>
      <c r="B142" s="606"/>
      <c r="C142" s="523" t="s">
        <v>806</v>
      </c>
      <c r="D142" s="524"/>
      <c r="E142" s="607"/>
      <c r="F142" s="447"/>
      <c r="G142" s="525"/>
      <c r="H142" s="447"/>
      <c r="I142" s="526"/>
      <c r="J142" s="433"/>
    </row>
    <row r="143" spans="1:10" ht="13.5" customHeight="1">
      <c r="A143" s="521">
        <v>1</v>
      </c>
      <c r="B143" s="522"/>
      <c r="C143" s="524" t="s">
        <v>807</v>
      </c>
      <c r="D143" s="524"/>
      <c r="E143" s="607"/>
      <c r="F143" s="583">
        <f>'Beckup Gedung'!J85</f>
        <v>41.484500000000004</v>
      </c>
      <c r="G143" s="525" t="s">
        <v>450</v>
      </c>
      <c r="H143" s="447">
        <f>'Rek Anal'!E75</f>
        <v>155441</v>
      </c>
      <c r="I143" s="608">
        <f>H143*F143</f>
        <v>6448392.1645000009</v>
      </c>
      <c r="J143" s="433"/>
    </row>
    <row r="144" spans="1:10" ht="13.5" customHeight="1">
      <c r="A144" s="521">
        <v>2</v>
      </c>
      <c r="B144" s="522"/>
      <c r="C144" s="524" t="s">
        <v>833</v>
      </c>
      <c r="D144" s="524"/>
      <c r="E144" s="607"/>
      <c r="F144" s="583">
        <f>'Beckup Gedung'!J86</f>
        <v>41.484500000000004</v>
      </c>
      <c r="G144" s="525" t="s">
        <v>450</v>
      </c>
      <c r="H144" s="447">
        <f>'Rek Anal'!E66</f>
        <v>54046.3</v>
      </c>
      <c r="I144" s="608">
        <f>H144*F144</f>
        <v>2242083.7323500002</v>
      </c>
      <c r="J144" s="433"/>
    </row>
    <row r="145" spans="1:10" ht="13.5" customHeight="1">
      <c r="A145" s="521">
        <v>3</v>
      </c>
      <c r="B145" s="522"/>
      <c r="C145" s="524" t="s">
        <v>934</v>
      </c>
      <c r="D145" s="524"/>
      <c r="E145" s="607"/>
      <c r="F145" s="583">
        <f>'Beckup Gedung'!J94</f>
        <v>42.56</v>
      </c>
      <c r="G145" s="525" t="s">
        <v>20</v>
      </c>
      <c r="H145" s="612">
        <f>'Rek Anal'!E71</f>
        <v>25752.1</v>
      </c>
      <c r="I145" s="611">
        <f>H145*F145</f>
        <v>1096009.3759999999</v>
      </c>
      <c r="J145" s="433"/>
    </row>
    <row r="146" spans="1:10" ht="13.5" customHeight="1">
      <c r="A146" s="521"/>
      <c r="B146" s="522"/>
      <c r="C146" s="524"/>
      <c r="D146" s="524"/>
      <c r="E146" s="607"/>
      <c r="F146" s="618"/>
      <c r="G146" s="525"/>
      <c r="H146" s="540"/>
      <c r="I146" s="619">
        <f>SUM(I143:I145)</f>
        <v>9786485.2728500012</v>
      </c>
      <c r="J146" s="433"/>
    </row>
    <row r="147" spans="1:10" ht="13.5" customHeight="1">
      <c r="A147" s="605" t="s">
        <v>479</v>
      </c>
      <c r="B147" s="606"/>
      <c r="C147" s="523" t="s">
        <v>472</v>
      </c>
      <c r="D147" s="524"/>
      <c r="E147" s="607"/>
      <c r="F147" s="447"/>
      <c r="G147" s="525"/>
      <c r="H147" s="447"/>
      <c r="I147" s="526"/>
      <c r="J147" s="433"/>
    </row>
    <row r="148" spans="1:10" ht="13.5" customHeight="1">
      <c r="A148" s="521">
        <v>1</v>
      </c>
      <c r="B148" s="522"/>
      <c r="C148" s="524" t="s">
        <v>473</v>
      </c>
      <c r="D148" s="524"/>
      <c r="E148" s="607"/>
      <c r="F148" s="583">
        <f>'Beckup Gedung'!J108</f>
        <v>9</v>
      </c>
      <c r="G148" s="525" t="s">
        <v>7</v>
      </c>
      <c r="H148" s="447">
        <f>'Rek Anal'!E125</f>
        <v>349184</v>
      </c>
      <c r="I148" s="608">
        <f t="shared" ref="I148:I153" si="6">H148*F148</f>
        <v>3142656</v>
      </c>
      <c r="J148" s="433"/>
    </row>
    <row r="149" spans="1:10" ht="13.5" customHeight="1">
      <c r="A149" s="521">
        <v>2</v>
      </c>
      <c r="B149" s="522"/>
      <c r="C149" s="524" t="s">
        <v>474</v>
      </c>
      <c r="D149" s="524"/>
      <c r="E149" s="607"/>
      <c r="F149" s="583">
        <f>'Beckup Gedung'!J109</f>
        <v>13.5</v>
      </c>
      <c r="G149" s="525" t="s">
        <v>18</v>
      </c>
      <c r="H149" s="447">
        <f>'Rek Anal'!E126</f>
        <v>105655</v>
      </c>
      <c r="I149" s="608">
        <f t="shared" si="6"/>
        <v>1426342.5</v>
      </c>
      <c r="J149" s="433"/>
    </row>
    <row r="150" spans="1:10" ht="13.5" customHeight="1">
      <c r="A150" s="521">
        <v>3</v>
      </c>
      <c r="B150" s="522"/>
      <c r="C150" s="524" t="s">
        <v>475</v>
      </c>
      <c r="D150" s="524"/>
      <c r="E150" s="607"/>
      <c r="F150" s="583">
        <f>'Beckup Gedung'!J110</f>
        <v>12</v>
      </c>
      <c r="G150" s="525" t="str">
        <f>G148</f>
        <v>bh</v>
      </c>
      <c r="H150" s="447">
        <f>'Rek Anal'!E128</f>
        <v>174612.9</v>
      </c>
      <c r="I150" s="608">
        <f t="shared" si="6"/>
        <v>2095354.7999999998</v>
      </c>
      <c r="J150" s="433"/>
    </row>
    <row r="151" spans="1:10" s="111" customFormat="1" ht="13.5" customHeight="1">
      <c r="A151" s="521">
        <v>4</v>
      </c>
      <c r="B151" s="522"/>
      <c r="C151" s="524" t="s">
        <v>476</v>
      </c>
      <c r="D151" s="524"/>
      <c r="E151" s="607"/>
      <c r="F151" s="583">
        <f>'Beckup Gedung'!J111</f>
        <v>38</v>
      </c>
      <c r="G151" s="525" t="str">
        <f>G149</f>
        <v>ps</v>
      </c>
      <c r="H151" s="447">
        <f>H242</f>
        <v>59247.1</v>
      </c>
      <c r="I151" s="621">
        <f t="shared" si="6"/>
        <v>2251389.7999999998</v>
      </c>
      <c r="J151" s="433"/>
    </row>
    <row r="152" spans="1:10" s="111" customFormat="1" ht="13.5" customHeight="1">
      <c r="A152" s="521">
        <v>5</v>
      </c>
      <c r="B152" s="522"/>
      <c r="C152" s="524" t="s">
        <v>477</v>
      </c>
      <c r="D152" s="524"/>
      <c r="E152" s="607"/>
      <c r="F152" s="583">
        <f>'Beckup Gedung'!J112</f>
        <v>38</v>
      </c>
      <c r="G152" s="525" t="str">
        <f>G150</f>
        <v>bh</v>
      </c>
      <c r="H152" s="447">
        <f t="shared" ref="H152:H153" si="7">H243</f>
        <v>82897.100000000006</v>
      </c>
      <c r="I152" s="621">
        <f t="shared" si="6"/>
        <v>3150089.8000000003</v>
      </c>
      <c r="J152" s="433"/>
    </row>
    <row r="153" spans="1:10" s="111" customFormat="1" ht="13.5" customHeight="1">
      <c r="A153" s="521">
        <v>6</v>
      </c>
      <c r="B153" s="522"/>
      <c r="C153" s="524" t="s">
        <v>478</v>
      </c>
      <c r="D153" s="524"/>
      <c r="E153" s="607"/>
      <c r="F153" s="583">
        <f>'Beckup Gedung'!J113</f>
        <v>38</v>
      </c>
      <c r="G153" s="525" t="str">
        <f>G151</f>
        <v>ps</v>
      </c>
      <c r="H153" s="447">
        <f t="shared" si="7"/>
        <v>92455</v>
      </c>
      <c r="I153" s="628">
        <f t="shared" si="6"/>
        <v>3513290</v>
      </c>
      <c r="J153" s="433"/>
    </row>
    <row r="154" spans="1:10" ht="13.5" customHeight="1">
      <c r="A154" s="521"/>
      <c r="B154" s="522"/>
      <c r="C154" s="524"/>
      <c r="D154" s="524"/>
      <c r="E154" s="607"/>
      <c r="F154" s="447"/>
      <c r="G154" s="525"/>
      <c r="H154" s="540"/>
      <c r="I154" s="632">
        <f>SUM(I148:I153)</f>
        <v>15579122.9</v>
      </c>
      <c r="J154" s="433"/>
    </row>
    <row r="155" spans="1:10" ht="13.5" customHeight="1">
      <c r="A155" s="605" t="s">
        <v>482</v>
      </c>
      <c r="B155" s="606"/>
      <c r="C155" s="523" t="s">
        <v>480</v>
      </c>
      <c r="D155" s="524"/>
      <c r="E155" s="607"/>
      <c r="F155" s="447"/>
      <c r="G155" s="525"/>
      <c r="H155" s="583"/>
      <c r="I155" s="909"/>
      <c r="J155" s="433"/>
    </row>
    <row r="156" spans="1:10" ht="13.5" customHeight="1">
      <c r="A156" s="521">
        <v>1</v>
      </c>
      <c r="B156" s="522"/>
      <c r="C156" s="524" t="s">
        <v>972</v>
      </c>
      <c r="D156" s="524"/>
      <c r="E156" s="607"/>
      <c r="F156" s="583">
        <f>'Beckup Gedung'!J116</f>
        <v>138.11360000000002</v>
      </c>
      <c r="G156" s="525" t="str">
        <f>G143</f>
        <v>m²</v>
      </c>
      <c r="H156" s="540">
        <f>'Rek Anal'!E91</f>
        <v>62106</v>
      </c>
      <c r="I156" s="608">
        <f t="shared" ref="I156:I161" si="8">H156*F156</f>
        <v>8577683.2416000012</v>
      </c>
      <c r="J156" s="433"/>
    </row>
    <row r="157" spans="1:10" s="111" customFormat="1" ht="13.5" customHeight="1">
      <c r="A157" s="521">
        <v>2</v>
      </c>
      <c r="B157" s="522"/>
      <c r="C157" s="524" t="s">
        <v>973</v>
      </c>
      <c r="D157" s="524"/>
      <c r="E157" s="607"/>
      <c r="F157" s="583">
        <f>'Beckup Gedung'!J117</f>
        <v>78.34320000000001</v>
      </c>
      <c r="G157" s="525" t="str">
        <f>G156</f>
        <v>m²</v>
      </c>
      <c r="H157" s="540">
        <f>'Rek Anal'!E90</f>
        <v>87626</v>
      </c>
      <c r="I157" s="608">
        <f t="shared" si="8"/>
        <v>6864901.2432000013</v>
      </c>
      <c r="J157" s="433"/>
    </row>
    <row r="158" spans="1:10" ht="13.5" customHeight="1">
      <c r="A158" s="521">
        <v>3</v>
      </c>
      <c r="B158" s="522"/>
      <c r="C158" s="524" t="s">
        <v>917</v>
      </c>
      <c r="D158" s="524"/>
      <c r="E158" s="607"/>
      <c r="F158" s="583">
        <f>'Beckup Gedung'!J118</f>
        <v>153.44800000000001</v>
      </c>
      <c r="G158" s="525" t="str">
        <f>G156</f>
        <v>m²</v>
      </c>
      <c r="H158" s="447">
        <f>'Rek Anal'!E96</f>
        <v>39794.699999999997</v>
      </c>
      <c r="I158" s="621">
        <f t="shared" si="8"/>
        <v>6106417.1255999999</v>
      </c>
      <c r="J158" s="433"/>
    </row>
    <row r="159" spans="1:10" ht="13.5" customHeight="1">
      <c r="A159" s="521">
        <v>4</v>
      </c>
      <c r="B159" s="522"/>
      <c r="C159" s="524" t="s">
        <v>809</v>
      </c>
      <c r="D159" s="524"/>
      <c r="E159" s="607"/>
      <c r="F159" s="583">
        <f>'Beckup Gedung'!J119</f>
        <v>746.2589999999999</v>
      </c>
      <c r="G159" s="525" t="str">
        <f>G156</f>
        <v>m²</v>
      </c>
      <c r="H159" s="447">
        <f>'Rek Anal'!E95</f>
        <v>33218.9</v>
      </c>
      <c r="I159" s="608">
        <f t="shared" si="8"/>
        <v>24789903.095099997</v>
      </c>
      <c r="J159" s="433"/>
    </row>
    <row r="160" spans="1:10" s="111" customFormat="1" ht="13.5" customHeight="1">
      <c r="A160" s="521">
        <v>5</v>
      </c>
      <c r="B160" s="522"/>
      <c r="C160" s="524" t="s">
        <v>810</v>
      </c>
      <c r="D160" s="524"/>
      <c r="E160" s="607"/>
      <c r="F160" s="583">
        <f>F144</f>
        <v>41.484500000000004</v>
      </c>
      <c r="G160" s="525" t="str">
        <f>G159</f>
        <v>m²</v>
      </c>
      <c r="H160" s="583">
        <f>'Rek Anal'!E96</f>
        <v>39794.699999999997</v>
      </c>
      <c r="I160" s="608">
        <f t="shared" si="8"/>
        <v>1650863.2321500001</v>
      </c>
      <c r="J160" s="433"/>
    </row>
    <row r="161" spans="1:10" ht="13.5" customHeight="1">
      <c r="A161" s="521">
        <v>6</v>
      </c>
      <c r="B161" s="522"/>
      <c r="C161" s="524" t="s">
        <v>954</v>
      </c>
      <c r="D161" s="524"/>
      <c r="E161" s="607"/>
      <c r="F161" s="583">
        <f>'Beckup Gedung'!J134</f>
        <v>564.57599999999991</v>
      </c>
      <c r="G161" s="525" t="str">
        <f>+G156</f>
        <v>m²</v>
      </c>
      <c r="H161" s="612">
        <f>'Rek Anal'!E95</f>
        <v>33218.9</v>
      </c>
      <c r="I161" s="611">
        <f t="shared" si="8"/>
        <v>18754593.686399996</v>
      </c>
      <c r="J161" s="433"/>
    </row>
    <row r="162" spans="1:10" ht="13.5" customHeight="1">
      <c r="A162" s="622"/>
      <c r="B162" s="623"/>
      <c r="C162" s="618"/>
      <c r="D162" s="618"/>
      <c r="E162" s="624"/>
      <c r="F162" s="447"/>
      <c r="G162" s="625"/>
      <c r="H162" s="620"/>
      <c r="I162" s="619">
        <f>SUM(I156:I161)</f>
        <v>66744361.624049999</v>
      </c>
      <c r="J162" s="433"/>
    </row>
    <row r="163" spans="1:10" ht="13.5" customHeight="1">
      <c r="A163" s="605" t="s">
        <v>486</v>
      </c>
      <c r="B163" s="606"/>
      <c r="C163" s="523" t="s">
        <v>483</v>
      </c>
      <c r="D163" s="524"/>
      <c r="E163" s="607"/>
      <c r="F163" s="447"/>
      <c r="G163" s="525"/>
      <c r="H163" s="447"/>
      <c r="I163" s="526"/>
      <c r="J163" s="433"/>
    </row>
    <row r="164" spans="1:10" ht="13.5" customHeight="1">
      <c r="A164" s="521">
        <v>1</v>
      </c>
      <c r="B164" s="522"/>
      <c r="C164" s="524" t="s">
        <v>484</v>
      </c>
      <c r="D164" s="524"/>
      <c r="E164" s="607"/>
      <c r="F164" s="583">
        <f>F173+F172+F171</f>
        <v>25</v>
      </c>
      <c r="G164" s="525" t="s">
        <v>8</v>
      </c>
      <c r="H164" s="447">
        <f>H254</f>
        <v>390571.5</v>
      </c>
      <c r="I164" s="526">
        <f t="shared" ref="I164:I175" si="9">H164*F164</f>
        <v>9764287.5</v>
      </c>
      <c r="J164" s="433"/>
    </row>
    <row r="165" spans="1:10" ht="13.5" customHeight="1">
      <c r="A165" s="521">
        <v>2</v>
      </c>
      <c r="B165" s="522"/>
      <c r="C165" s="524" t="s">
        <v>485</v>
      </c>
      <c r="D165" s="524"/>
      <c r="E165" s="607"/>
      <c r="F165" s="583">
        <f>16+4</f>
        <v>20</v>
      </c>
      <c r="G165" s="525" t="str">
        <f>+G164</f>
        <v>ttk</v>
      </c>
      <c r="H165" s="447">
        <f>H255</f>
        <v>247714.5</v>
      </c>
      <c r="I165" s="526">
        <f t="shared" si="9"/>
        <v>4954290</v>
      </c>
      <c r="J165" s="433"/>
    </row>
    <row r="166" spans="1:10" ht="13.5" customHeight="1">
      <c r="A166" s="521">
        <v>3</v>
      </c>
      <c r="B166" s="522"/>
      <c r="C166" s="524" t="s">
        <v>811</v>
      </c>
      <c r="D166" s="524"/>
      <c r="E166" s="607"/>
      <c r="F166" s="583">
        <v>8</v>
      </c>
      <c r="G166" s="525" t="str">
        <f>+G165</f>
        <v>ttk</v>
      </c>
      <c r="H166" s="447">
        <f>H165</f>
        <v>247714.5</v>
      </c>
      <c r="I166" s="526">
        <f t="shared" si="9"/>
        <v>1981716</v>
      </c>
      <c r="J166" s="433"/>
    </row>
    <row r="167" spans="1:10" ht="13.5" customHeight="1">
      <c r="A167" s="521">
        <v>4</v>
      </c>
      <c r="B167" s="522"/>
      <c r="C167" s="524" t="s">
        <v>812</v>
      </c>
      <c r="D167" s="524"/>
      <c r="E167" s="607"/>
      <c r="F167" s="583">
        <f>F165</f>
        <v>20</v>
      </c>
      <c r="G167" s="525" t="str">
        <f>+G164</f>
        <v>ttk</v>
      </c>
      <c r="H167" s="447">
        <f>H257</f>
        <v>53691</v>
      </c>
      <c r="I167" s="526">
        <f t="shared" si="9"/>
        <v>1073820</v>
      </c>
      <c r="J167" s="433"/>
    </row>
    <row r="168" spans="1:10" ht="13.5" customHeight="1">
      <c r="A168" s="521">
        <v>5</v>
      </c>
      <c r="B168" s="522"/>
      <c r="C168" s="524" t="s">
        <v>813</v>
      </c>
      <c r="D168" s="524"/>
      <c r="E168" s="607"/>
      <c r="F168" s="583">
        <f>F166</f>
        <v>8</v>
      </c>
      <c r="G168" s="525" t="str">
        <f>+G165</f>
        <v>ttk</v>
      </c>
      <c r="H168" s="447">
        <f>H258</f>
        <v>95304</v>
      </c>
      <c r="I168" s="526">
        <f t="shared" si="9"/>
        <v>762432</v>
      </c>
      <c r="J168" s="433"/>
    </row>
    <row r="169" spans="1:10" ht="13.5" customHeight="1">
      <c r="A169" s="521">
        <v>6</v>
      </c>
      <c r="B169" s="522"/>
      <c r="C169" s="524" t="s">
        <v>814</v>
      </c>
      <c r="D169" s="524"/>
      <c r="E169" s="607"/>
      <c r="F169" s="583">
        <v>6</v>
      </c>
      <c r="G169" s="525" t="str">
        <f>G165</f>
        <v>ttk</v>
      </c>
      <c r="H169" s="447">
        <f>'Rek Anal'!E157</f>
        <v>46915</v>
      </c>
      <c r="I169" s="526">
        <f t="shared" si="9"/>
        <v>281490</v>
      </c>
      <c r="J169" s="433"/>
    </row>
    <row r="170" spans="1:10" ht="13.5" customHeight="1">
      <c r="A170" s="521">
        <v>7</v>
      </c>
      <c r="B170" s="522"/>
      <c r="C170" s="524" t="s">
        <v>815</v>
      </c>
      <c r="D170" s="524"/>
      <c r="E170" s="607"/>
      <c r="F170" s="583">
        <v>1</v>
      </c>
      <c r="G170" s="525" t="str">
        <f>G168</f>
        <v>ttk</v>
      </c>
      <c r="H170" s="447">
        <f>'Rek Anal'!E158</f>
        <v>52965</v>
      </c>
      <c r="I170" s="526">
        <f t="shared" si="9"/>
        <v>52965</v>
      </c>
      <c r="J170" s="433"/>
    </row>
    <row r="171" spans="1:10" ht="13.5" customHeight="1">
      <c r="A171" s="521">
        <v>8</v>
      </c>
      <c r="B171" s="522"/>
      <c r="C171" s="524" t="s">
        <v>816</v>
      </c>
      <c r="D171" s="524"/>
      <c r="E171" s="607"/>
      <c r="F171" s="583">
        <v>5</v>
      </c>
      <c r="G171" s="525" t="str">
        <f>G169</f>
        <v>ttk</v>
      </c>
      <c r="H171" s="447">
        <f>H260</f>
        <v>143143.00000000003</v>
      </c>
      <c r="I171" s="526">
        <f t="shared" si="9"/>
        <v>715715.00000000012</v>
      </c>
      <c r="J171" s="433"/>
    </row>
    <row r="172" spans="1:10" s="111" customFormat="1" ht="13.5" customHeight="1">
      <c r="A172" s="521">
        <v>9</v>
      </c>
      <c r="B172" s="522"/>
      <c r="C172" s="451" t="s">
        <v>649</v>
      </c>
      <c r="D172" s="524"/>
      <c r="E172" s="607"/>
      <c r="F172" s="583">
        <f>3*4+3</f>
        <v>15</v>
      </c>
      <c r="G172" s="525" t="str">
        <f>G170</f>
        <v>ttk</v>
      </c>
      <c r="H172" s="447">
        <f>Bahan!E77</f>
        <v>390000</v>
      </c>
      <c r="I172" s="526">
        <f t="shared" ref="I172" si="10">H172*F172</f>
        <v>5850000</v>
      </c>
      <c r="J172" s="433"/>
    </row>
    <row r="173" spans="1:10" ht="13.5" customHeight="1">
      <c r="A173" s="521">
        <v>10</v>
      </c>
      <c r="B173" s="522"/>
      <c r="C173" s="524" t="s">
        <v>963</v>
      </c>
      <c r="D173" s="524"/>
      <c r="E173" s="607"/>
      <c r="F173" s="583">
        <v>5</v>
      </c>
      <c r="G173" s="525" t="str">
        <f>G170</f>
        <v>ttk</v>
      </c>
      <c r="H173" s="447">
        <f>Bahan!E76</f>
        <v>120000</v>
      </c>
      <c r="I173" s="526">
        <f t="shared" si="9"/>
        <v>600000</v>
      </c>
      <c r="J173" s="433"/>
    </row>
    <row r="174" spans="1:10" ht="13.5" customHeight="1">
      <c r="A174" s="521">
        <v>11</v>
      </c>
      <c r="B174" s="522"/>
      <c r="C174" s="524" t="s">
        <v>818</v>
      </c>
      <c r="D174" s="524"/>
      <c r="E174" s="607"/>
      <c r="F174" s="583">
        <v>1</v>
      </c>
      <c r="G174" s="525" t="s">
        <v>7</v>
      </c>
      <c r="H174" s="447">
        <f>Bahan!E44</f>
        <v>250000</v>
      </c>
      <c r="I174" s="526">
        <f t="shared" si="9"/>
        <v>250000</v>
      </c>
      <c r="J174" s="433"/>
    </row>
    <row r="175" spans="1:10" ht="13.5" customHeight="1">
      <c r="A175" s="521">
        <v>12</v>
      </c>
      <c r="B175" s="522"/>
      <c r="C175" s="524" t="s">
        <v>819</v>
      </c>
      <c r="D175" s="524"/>
      <c r="E175" s="607"/>
      <c r="F175" s="583">
        <v>6</v>
      </c>
      <c r="G175" s="525" t="s">
        <v>7</v>
      </c>
      <c r="H175" s="447">
        <f>Bahan!E46</f>
        <v>75000</v>
      </c>
      <c r="I175" s="526">
        <f t="shared" si="9"/>
        <v>450000</v>
      </c>
      <c r="J175" s="433"/>
    </row>
    <row r="176" spans="1:10" s="111" customFormat="1" ht="13.5" customHeight="1">
      <c r="A176" s="521">
        <v>13</v>
      </c>
      <c r="B176" s="522"/>
      <c r="C176" s="626" t="s">
        <v>762</v>
      </c>
      <c r="D176" s="524"/>
      <c r="E176" s="607"/>
      <c r="F176" s="583">
        <v>2</v>
      </c>
      <c r="G176" s="525" t="str">
        <f t="shared" ref="G176:G181" si="11">G175</f>
        <v>bh</v>
      </c>
      <c r="H176" s="447">
        <f>'Rek Anal'!E143</f>
        <v>3418580</v>
      </c>
      <c r="I176" s="627">
        <f t="shared" ref="I176:I182" si="12">H176*F176</f>
        <v>6837160</v>
      </c>
      <c r="J176" s="433"/>
    </row>
    <row r="177" spans="1:10" s="111" customFormat="1" ht="13.5" customHeight="1">
      <c r="A177" s="521">
        <v>14</v>
      </c>
      <c r="B177" s="522"/>
      <c r="C177" s="626" t="s">
        <v>773</v>
      </c>
      <c r="D177" s="524"/>
      <c r="E177" s="607"/>
      <c r="F177" s="583">
        <v>2</v>
      </c>
      <c r="G177" s="525" t="str">
        <f t="shared" si="11"/>
        <v>bh</v>
      </c>
      <c r="H177" s="447">
        <f>'Rek Anal'!E152</f>
        <v>339870.85</v>
      </c>
      <c r="I177" s="627">
        <f t="shared" si="12"/>
        <v>679741.7</v>
      </c>
      <c r="J177" s="433"/>
    </row>
    <row r="178" spans="1:10" s="111" customFormat="1" ht="13.5" customHeight="1">
      <c r="A178" s="521">
        <v>15</v>
      </c>
      <c r="B178" s="522"/>
      <c r="C178" s="626" t="s">
        <v>770</v>
      </c>
      <c r="D178" s="524"/>
      <c r="E178" s="607"/>
      <c r="F178" s="583">
        <v>2</v>
      </c>
      <c r="G178" s="525" t="str">
        <f t="shared" si="11"/>
        <v>bh</v>
      </c>
      <c r="H178" s="447">
        <f>'Rek Anal'!E149</f>
        <v>147920.85</v>
      </c>
      <c r="I178" s="627">
        <f t="shared" si="12"/>
        <v>295841.7</v>
      </c>
      <c r="J178" s="433"/>
    </row>
    <row r="179" spans="1:10" s="111" customFormat="1" ht="13.5" customHeight="1">
      <c r="A179" s="521">
        <v>16</v>
      </c>
      <c r="B179" s="522"/>
      <c r="C179" s="626" t="s">
        <v>759</v>
      </c>
      <c r="D179" s="524"/>
      <c r="E179" s="607"/>
      <c r="F179" s="583">
        <v>2</v>
      </c>
      <c r="G179" s="525" t="str">
        <f t="shared" si="11"/>
        <v>bh</v>
      </c>
      <c r="H179" s="447">
        <f>'Rek Anal'!E146</f>
        <v>805572.9</v>
      </c>
      <c r="I179" s="627">
        <f t="shared" si="12"/>
        <v>1611145.8</v>
      </c>
      <c r="J179" s="433"/>
    </row>
    <row r="180" spans="1:10" s="111" customFormat="1" ht="13.5" customHeight="1">
      <c r="A180" s="521">
        <v>17</v>
      </c>
      <c r="B180" s="522"/>
      <c r="C180" s="626" t="s">
        <v>777</v>
      </c>
      <c r="D180" s="524"/>
      <c r="E180" s="607"/>
      <c r="F180" s="583">
        <v>2</v>
      </c>
      <c r="G180" s="525" t="str">
        <f t="shared" si="11"/>
        <v>bh</v>
      </c>
      <c r="H180" s="447">
        <f>'Rek Anal'!E151</f>
        <v>724870.85</v>
      </c>
      <c r="I180" s="627">
        <f t="shared" si="12"/>
        <v>1449741.7</v>
      </c>
      <c r="J180" s="433"/>
    </row>
    <row r="181" spans="1:10" s="111" customFormat="1" ht="13.5" customHeight="1">
      <c r="A181" s="521">
        <v>18</v>
      </c>
      <c r="B181" s="522"/>
      <c r="C181" s="626" t="s">
        <v>767</v>
      </c>
      <c r="D181" s="524"/>
      <c r="E181" s="607"/>
      <c r="F181" s="583">
        <v>4</v>
      </c>
      <c r="G181" s="525" t="str">
        <f t="shared" si="11"/>
        <v>bh</v>
      </c>
      <c r="H181" s="447">
        <f>'Rek Anal'!E148</f>
        <v>123597.1</v>
      </c>
      <c r="I181" s="627">
        <f t="shared" si="12"/>
        <v>494388.4</v>
      </c>
      <c r="J181" s="433"/>
    </row>
    <row r="182" spans="1:10" s="111" customFormat="1" ht="13.5" customHeight="1">
      <c r="A182" s="521">
        <v>19</v>
      </c>
      <c r="B182" s="522"/>
      <c r="C182" s="524" t="s">
        <v>940</v>
      </c>
      <c r="D182" s="524"/>
      <c r="E182" s="607"/>
      <c r="F182" s="583">
        <v>1</v>
      </c>
      <c r="G182" s="525" t="s">
        <v>91</v>
      </c>
      <c r="H182" s="612">
        <f>Upah!F35</f>
        <v>350000</v>
      </c>
      <c r="I182" s="628">
        <f t="shared" si="12"/>
        <v>350000</v>
      </c>
      <c r="J182" s="433"/>
    </row>
    <row r="183" spans="1:10" ht="13.5" customHeight="1">
      <c r="A183" s="521"/>
      <c r="B183" s="522"/>
      <c r="C183" s="524"/>
      <c r="D183" s="524"/>
      <c r="E183" s="607"/>
      <c r="F183" s="583"/>
      <c r="G183" s="519"/>
      <c r="H183" s="540"/>
      <c r="I183" s="520">
        <f>SUM(I164:I182)</f>
        <v>38454734.800000004</v>
      </c>
      <c r="J183" s="433"/>
    </row>
    <row r="184" spans="1:10" ht="13.5" customHeight="1">
      <c r="A184" s="605" t="s">
        <v>820</v>
      </c>
      <c r="B184" s="606"/>
      <c r="C184" s="523" t="s">
        <v>951</v>
      </c>
      <c r="D184" s="524"/>
      <c r="E184" s="607"/>
      <c r="F184" s="447"/>
      <c r="G184" s="525"/>
      <c r="H184" s="447"/>
      <c r="I184" s="526"/>
      <c r="J184" s="433"/>
    </row>
    <row r="185" spans="1:10" ht="13.5" customHeight="1">
      <c r="A185" s="521">
        <v>1</v>
      </c>
      <c r="B185" s="522"/>
      <c r="C185" s="524" t="s">
        <v>1052</v>
      </c>
      <c r="D185" s="524"/>
      <c r="E185" s="607"/>
      <c r="F185" s="583">
        <f>'Beckup Gedung'!J159</f>
        <v>7.6479999999999997</v>
      </c>
      <c r="G185" s="525" t="str">
        <f>G144</f>
        <v>m²</v>
      </c>
      <c r="H185" s="612">
        <f>'Rek Anal'!E180</f>
        <v>558200.5</v>
      </c>
      <c r="I185" s="611">
        <f>H185*F185</f>
        <v>4269117.4239999996</v>
      </c>
      <c r="J185" s="433"/>
    </row>
    <row r="186" spans="1:10" ht="13.5" customHeight="1">
      <c r="A186" s="521"/>
      <c r="B186" s="522"/>
      <c r="C186" s="524"/>
      <c r="D186" s="524"/>
      <c r="E186" s="607"/>
      <c r="F186" s="540"/>
      <c r="G186" s="519"/>
      <c r="H186" s="540"/>
      <c r="I186" s="520">
        <f>SUM(I185)</f>
        <v>4269117.4239999996</v>
      </c>
      <c r="J186" s="433"/>
    </row>
    <row r="187" spans="1:10" ht="13.5" customHeight="1">
      <c r="A187" s="605" t="s">
        <v>264</v>
      </c>
      <c r="B187" s="606"/>
      <c r="C187" s="523" t="s">
        <v>821</v>
      </c>
      <c r="D187" s="508"/>
      <c r="E187" s="508"/>
      <c r="F187" s="447"/>
      <c r="G187" s="525"/>
      <c r="H187" s="447"/>
      <c r="I187" s="526"/>
      <c r="J187" s="433"/>
    </row>
    <row r="188" spans="1:10" ht="13.5" customHeight="1">
      <c r="A188" s="605" t="s">
        <v>444</v>
      </c>
      <c r="B188" s="606"/>
      <c r="C188" s="523" t="s">
        <v>790</v>
      </c>
      <c r="D188" s="524"/>
      <c r="E188" s="607"/>
      <c r="F188" s="524"/>
      <c r="G188" s="525"/>
      <c r="H188" s="522"/>
      <c r="I188" s="526"/>
      <c r="J188" s="433"/>
    </row>
    <row r="189" spans="1:10" ht="13.5" customHeight="1">
      <c r="A189" s="521">
        <v>1</v>
      </c>
      <c r="B189" s="522"/>
      <c r="C189" s="524" t="s">
        <v>791</v>
      </c>
      <c r="D189" s="524"/>
      <c r="E189" s="607"/>
      <c r="F189" s="447">
        <f>'Beckup Gedung'!J165</f>
        <v>62.640000000000008</v>
      </c>
      <c r="G189" s="525" t="str">
        <f>G190</f>
        <v>m²</v>
      </c>
      <c r="H189" s="522">
        <f>H115</f>
        <v>143302.5</v>
      </c>
      <c r="I189" s="608">
        <f>H189*F189</f>
        <v>8976468.6000000015</v>
      </c>
      <c r="J189" s="433"/>
    </row>
    <row r="190" spans="1:10" ht="13.5" customHeight="1">
      <c r="A190" s="521">
        <v>2</v>
      </c>
      <c r="B190" s="522"/>
      <c r="C190" s="524" t="s">
        <v>792</v>
      </c>
      <c r="D190" s="524"/>
      <c r="E190" s="607"/>
      <c r="F190" s="447">
        <f>'Beckup Gedung'!J166</f>
        <v>125.30000000000001</v>
      </c>
      <c r="G190" s="525" t="s">
        <v>450</v>
      </c>
      <c r="H190" s="533">
        <f>H116</f>
        <v>62257.58</v>
      </c>
      <c r="I190" s="611">
        <f>H190*F190</f>
        <v>7800874.7740000011</v>
      </c>
      <c r="J190" s="433"/>
    </row>
    <row r="191" spans="1:10" ht="13.5" customHeight="1">
      <c r="A191" s="521"/>
      <c r="B191" s="522"/>
      <c r="C191" s="524"/>
      <c r="D191" s="524"/>
      <c r="E191" s="607"/>
      <c r="F191" s="447"/>
      <c r="G191" s="525"/>
      <c r="H191" s="516"/>
      <c r="I191" s="520">
        <f>SUM(I189:I190)</f>
        <v>16777343.374000002</v>
      </c>
      <c r="J191" s="433"/>
    </row>
    <row r="192" spans="1:10" s="111" customFormat="1" ht="13.5" customHeight="1">
      <c r="A192" s="629" t="s">
        <v>444</v>
      </c>
      <c r="B192" s="630"/>
      <c r="C192" s="631" t="s">
        <v>452</v>
      </c>
      <c r="D192" s="524"/>
      <c r="E192" s="524"/>
      <c r="F192" s="522"/>
      <c r="G192" s="525"/>
      <c r="H192" s="516"/>
      <c r="I192" s="632"/>
      <c r="J192" s="433"/>
    </row>
    <row r="193" spans="1:10" s="111" customFormat="1" ht="13.5" customHeight="1">
      <c r="A193" s="544">
        <v>1</v>
      </c>
      <c r="B193" s="633"/>
      <c r="C193" s="626" t="s">
        <v>1046</v>
      </c>
      <c r="D193" s="634"/>
      <c r="E193" s="634"/>
      <c r="F193" s="635">
        <f>'Beckup Gedung'!J168</f>
        <v>0.57599999999999996</v>
      </c>
      <c r="G193" s="549" t="s">
        <v>422</v>
      </c>
      <c r="H193" s="636">
        <f>'Rek Anal'!E38</f>
        <v>1183114.1711626984</v>
      </c>
      <c r="I193" s="550">
        <f t="shared" ref="I193:I198" si="13">+H193*F193</f>
        <v>681473.76258971426</v>
      </c>
    </row>
    <row r="194" spans="1:10" s="111" customFormat="1" ht="13.5" customHeight="1">
      <c r="A194" s="544"/>
      <c r="B194" s="633"/>
      <c r="C194" s="626"/>
      <c r="D194" s="634" t="s">
        <v>990</v>
      </c>
      <c r="E194" s="634"/>
      <c r="F194" s="635">
        <f>'Beckup Gedung'!J169</f>
        <v>94.738285714285723</v>
      </c>
      <c r="G194" s="637" t="s">
        <v>14</v>
      </c>
      <c r="H194" s="636">
        <f>'Rek Anal'!E28</f>
        <v>16855.52</v>
      </c>
      <c r="I194" s="550">
        <f t="shared" si="13"/>
        <v>1596863.0696228573</v>
      </c>
    </row>
    <row r="195" spans="1:10" s="111" customFormat="1" ht="13.5" customHeight="1">
      <c r="A195" s="544"/>
      <c r="B195" s="633"/>
      <c r="C195" s="626"/>
      <c r="D195" s="634" t="s">
        <v>644</v>
      </c>
      <c r="E195" s="634"/>
      <c r="F195" s="635">
        <f>'Beckup Gedung'!J172</f>
        <v>8.6399999999999988</v>
      </c>
      <c r="G195" s="637" t="str">
        <f>G198</f>
        <v>m²</v>
      </c>
      <c r="H195" s="636">
        <f>'Rek Anal'!E33</f>
        <v>179201</v>
      </c>
      <c r="I195" s="550">
        <f t="shared" si="13"/>
        <v>1548296.64</v>
      </c>
    </row>
    <row r="196" spans="1:10" s="111" customFormat="1" ht="13.5" customHeight="1">
      <c r="A196" s="544">
        <v>2</v>
      </c>
      <c r="B196" s="633"/>
      <c r="C196" s="626" t="s">
        <v>1047</v>
      </c>
      <c r="D196" s="634"/>
      <c r="E196" s="634"/>
      <c r="F196" s="635">
        <f>'Beckup Gedung'!J173</f>
        <v>2.82</v>
      </c>
      <c r="G196" s="549" t="s">
        <v>422</v>
      </c>
      <c r="H196" s="638">
        <f>H193</f>
        <v>1183114.1711626984</v>
      </c>
      <c r="I196" s="550">
        <f t="shared" si="13"/>
        <v>3336381.9626788092</v>
      </c>
    </row>
    <row r="197" spans="1:10" s="111" customFormat="1" ht="13.5" customHeight="1">
      <c r="A197" s="544"/>
      <c r="B197" s="633"/>
      <c r="C197" s="626"/>
      <c r="D197" s="634" t="s">
        <v>990</v>
      </c>
      <c r="E197" s="634"/>
      <c r="F197" s="635">
        <f>'Beckup Gedung'!J174</f>
        <v>482.37577142857145</v>
      </c>
      <c r="G197" s="549" t="s">
        <v>14</v>
      </c>
      <c r="H197" s="638">
        <f>H194</f>
        <v>16855.52</v>
      </c>
      <c r="I197" s="550">
        <f t="shared" si="13"/>
        <v>8130694.4628297146</v>
      </c>
    </row>
    <row r="198" spans="1:10" s="111" customFormat="1" ht="13.5" customHeight="1">
      <c r="A198" s="544"/>
      <c r="B198" s="633"/>
      <c r="C198" s="626"/>
      <c r="D198" s="634" t="s">
        <v>644</v>
      </c>
      <c r="E198" s="634"/>
      <c r="F198" s="635">
        <f>'Beckup Gedung'!J177</f>
        <v>37.6</v>
      </c>
      <c r="G198" s="549" t="s">
        <v>450</v>
      </c>
      <c r="H198" s="639">
        <f>H195</f>
        <v>179201</v>
      </c>
      <c r="I198" s="640">
        <f t="shared" si="13"/>
        <v>6737957.6000000006</v>
      </c>
    </row>
    <row r="199" spans="1:10" s="111" customFormat="1" ht="13.5" customHeight="1">
      <c r="A199" s="521"/>
      <c r="B199" s="522"/>
      <c r="C199" s="524"/>
      <c r="D199" s="524"/>
      <c r="E199" s="607"/>
      <c r="F199" s="447"/>
      <c r="G199" s="525"/>
      <c r="H199" s="516"/>
      <c r="I199" s="632">
        <f>SUM(I193:I198)</f>
        <v>22031667.497721095</v>
      </c>
      <c r="J199" s="433"/>
    </row>
    <row r="200" spans="1:10" ht="13.5" customHeight="1">
      <c r="A200" s="605" t="s">
        <v>451</v>
      </c>
      <c r="B200" s="606"/>
      <c r="C200" s="523" t="s">
        <v>469</v>
      </c>
      <c r="D200" s="524"/>
      <c r="E200" s="607"/>
      <c r="F200" s="447"/>
      <c r="G200" s="525"/>
      <c r="H200" s="447"/>
      <c r="I200" s="526"/>
      <c r="J200" s="433"/>
    </row>
    <row r="201" spans="1:10" ht="13.5" customHeight="1">
      <c r="A201" s="521">
        <v>1</v>
      </c>
      <c r="B201" s="522"/>
      <c r="C201" s="524" t="s">
        <v>943</v>
      </c>
      <c r="D201" s="524"/>
      <c r="E201" s="607"/>
      <c r="F201" s="583">
        <f>'Beckup Gedung'!J181</f>
        <v>19.759999999999998</v>
      </c>
      <c r="G201" s="525" t="s">
        <v>453</v>
      </c>
      <c r="H201" s="447">
        <f>H120</f>
        <v>257796</v>
      </c>
      <c r="I201" s="608">
        <f t="shared" ref="I201:I208" si="14">H201*F201</f>
        <v>5094048.959999999</v>
      </c>
      <c r="J201" s="433"/>
    </row>
    <row r="202" spans="1:10" ht="13.5" customHeight="1">
      <c r="A202" s="521">
        <v>2</v>
      </c>
      <c r="B202" s="522"/>
      <c r="C202" s="524" t="s">
        <v>794</v>
      </c>
      <c r="D202" s="524"/>
      <c r="E202" s="607"/>
      <c r="F202" s="583">
        <f>'Beckup Gedung'!J190</f>
        <v>7.9981999999999998</v>
      </c>
      <c r="G202" s="525" t="s">
        <v>450</v>
      </c>
      <c r="H202" s="447">
        <f>'Rek Anal'!E115+'Rek Anal'!E138</f>
        <v>1082097.5</v>
      </c>
      <c r="I202" s="608">
        <f t="shared" si="14"/>
        <v>8654832.2245000005</v>
      </c>
      <c r="J202" s="433"/>
    </row>
    <row r="203" spans="1:10" ht="13.5" customHeight="1">
      <c r="A203" s="521">
        <v>3</v>
      </c>
      <c r="B203" s="522"/>
      <c r="C203" s="524" t="s">
        <v>795</v>
      </c>
      <c r="D203" s="524"/>
      <c r="E203" s="607"/>
      <c r="F203" s="583">
        <f>'Beckup Gedung'!J199</f>
        <v>14.4992</v>
      </c>
      <c r="G203" s="525" t="s">
        <v>450</v>
      </c>
      <c r="H203" s="447">
        <f>H122</f>
        <v>1139325</v>
      </c>
      <c r="I203" s="608">
        <f t="shared" si="14"/>
        <v>16519301.040000001</v>
      </c>
      <c r="J203" s="433"/>
    </row>
    <row r="204" spans="1:10" ht="13.5" customHeight="1">
      <c r="A204" s="521">
        <v>4</v>
      </c>
      <c r="B204" s="522"/>
      <c r="C204" s="524" t="s">
        <v>797</v>
      </c>
      <c r="D204" s="524"/>
      <c r="E204" s="607"/>
      <c r="F204" s="583">
        <f>'Beckup Gedung'!J203</f>
        <v>22.704999999999998</v>
      </c>
      <c r="G204" s="525" t="s">
        <v>450</v>
      </c>
      <c r="H204" s="447">
        <f>H124</f>
        <v>271342.50000000006</v>
      </c>
      <c r="I204" s="526">
        <f t="shared" si="14"/>
        <v>6160831.4625000013</v>
      </c>
      <c r="J204" s="433"/>
    </row>
    <row r="205" spans="1:10" s="111" customFormat="1" ht="13.5" customHeight="1">
      <c r="A205" s="521">
        <v>5</v>
      </c>
      <c r="B205" s="522"/>
      <c r="C205" s="524" t="s">
        <v>919</v>
      </c>
      <c r="D205" s="524"/>
      <c r="E205" s="607"/>
      <c r="F205" s="583">
        <f>'Beckup Gedung'!J210</f>
        <v>102.19999999999999</v>
      </c>
      <c r="G205" s="525" t="str">
        <f>G201</f>
        <v>m¹</v>
      </c>
      <c r="H205" s="447">
        <f>H236</f>
        <v>32407.1</v>
      </c>
      <c r="I205" s="526">
        <f t="shared" ref="I205" si="15">H205*F205</f>
        <v>3312005.6199999996</v>
      </c>
      <c r="J205" s="433"/>
    </row>
    <row r="206" spans="1:10" s="111" customFormat="1" ht="13.5" customHeight="1">
      <c r="A206" s="521">
        <v>6</v>
      </c>
      <c r="B206" s="522"/>
      <c r="C206" s="524" t="s">
        <v>1048</v>
      </c>
      <c r="D206" s="524"/>
      <c r="E206" s="607"/>
      <c r="F206" s="583">
        <f>'Beckup Gedung'!J213</f>
        <v>0.56999999999999995</v>
      </c>
      <c r="G206" s="525" t="str">
        <f>G204</f>
        <v>m²</v>
      </c>
      <c r="H206" s="583">
        <f>'Rek Anal'!E54</f>
        <v>171752.9</v>
      </c>
      <c r="I206" s="526">
        <f t="shared" si="14"/>
        <v>97899.152999999991</v>
      </c>
      <c r="J206" s="433"/>
    </row>
    <row r="207" spans="1:10" ht="13.5" customHeight="1">
      <c r="A207" s="521">
        <v>7</v>
      </c>
      <c r="B207" s="522"/>
      <c r="C207" s="524" t="s">
        <v>979</v>
      </c>
      <c r="D207" s="524"/>
      <c r="E207" s="607"/>
      <c r="F207" s="583">
        <f>'Beckup Gedung'!J214</f>
        <v>92.400999999999996</v>
      </c>
      <c r="G207" s="525" t="s">
        <v>450</v>
      </c>
      <c r="H207" s="447">
        <f>'Rek Anal'!E112</f>
        <v>165506</v>
      </c>
      <c r="I207" s="526">
        <f t="shared" si="14"/>
        <v>15292919.905999999</v>
      </c>
      <c r="J207" s="433"/>
    </row>
    <row r="208" spans="1:10" s="111" customFormat="1" ht="13.5" customHeight="1">
      <c r="A208" s="521"/>
      <c r="B208" s="522"/>
      <c r="C208" s="524" t="s">
        <v>977</v>
      </c>
      <c r="D208" s="524"/>
      <c r="E208" s="607"/>
      <c r="F208" s="583">
        <f>F207</f>
        <v>92.400999999999996</v>
      </c>
      <c r="G208" s="525" t="str">
        <f>G207</f>
        <v>m²</v>
      </c>
      <c r="H208" s="447">
        <f>H126</f>
        <v>171515.95999999996</v>
      </c>
      <c r="I208" s="526">
        <f t="shared" si="14"/>
        <v>15848246.219959997</v>
      </c>
      <c r="J208" s="433"/>
    </row>
    <row r="209" spans="1:10" s="111" customFormat="1" ht="13.5" customHeight="1">
      <c r="A209" s="521">
        <v>8</v>
      </c>
      <c r="B209" s="522"/>
      <c r="C209" s="524" t="s">
        <v>975</v>
      </c>
      <c r="D209" s="524"/>
      <c r="E209" s="607"/>
      <c r="F209" s="583">
        <v>1</v>
      </c>
      <c r="G209" s="525" t="s">
        <v>91</v>
      </c>
      <c r="H209" s="612">
        <f>Upah!F36</f>
        <v>450000</v>
      </c>
      <c r="I209" s="611">
        <f t="shared" ref="I209" si="16">H209*F209</f>
        <v>450000</v>
      </c>
      <c r="J209" s="433"/>
    </row>
    <row r="210" spans="1:10" ht="13.5" customHeight="1" thickBot="1">
      <c r="A210" s="613"/>
      <c r="B210" s="530"/>
      <c r="C210" s="527"/>
      <c r="D210" s="527"/>
      <c r="E210" s="614"/>
      <c r="F210" s="615"/>
      <c r="G210" s="529"/>
      <c r="H210" s="615"/>
      <c r="I210" s="616">
        <f>SUM(I201:I209)</f>
        <v>71430084.585960001</v>
      </c>
      <c r="J210" s="433"/>
    </row>
    <row r="211" spans="1:10" ht="13.5" customHeight="1" thickTop="1">
      <c r="A211" s="507"/>
      <c r="B211" s="508"/>
      <c r="C211" s="508"/>
      <c r="D211" s="508"/>
      <c r="E211" s="508"/>
      <c r="F211" s="508"/>
      <c r="G211" s="617"/>
      <c r="H211" s="508"/>
      <c r="I211" s="508"/>
      <c r="J211" s="433"/>
    </row>
    <row r="212" spans="1:10" ht="15" thickBot="1">
      <c r="A212" s="507"/>
      <c r="B212" s="508"/>
      <c r="C212" s="508"/>
      <c r="D212" s="508"/>
      <c r="E212" s="508"/>
      <c r="F212" s="508"/>
      <c r="G212" s="617"/>
      <c r="H212" s="508"/>
      <c r="I212" s="508"/>
      <c r="J212" s="433"/>
    </row>
    <row r="213" spans="1:10" ht="15" thickTop="1">
      <c r="A213" s="1897" t="s">
        <v>0</v>
      </c>
      <c r="B213" s="1899" t="s">
        <v>412</v>
      </c>
      <c r="C213" s="1899"/>
      <c r="D213" s="1899"/>
      <c r="E213" s="1899"/>
      <c r="F213" s="1901" t="s">
        <v>413</v>
      </c>
      <c r="G213" s="1899" t="s">
        <v>414</v>
      </c>
      <c r="H213" s="511" t="s">
        <v>133</v>
      </c>
      <c r="I213" s="512" t="s">
        <v>784</v>
      </c>
      <c r="J213" s="433"/>
    </row>
    <row r="214" spans="1:10">
      <c r="A214" s="1898"/>
      <c r="B214" s="1900"/>
      <c r="C214" s="1900"/>
      <c r="D214" s="1900"/>
      <c r="E214" s="1900"/>
      <c r="F214" s="1902"/>
      <c r="G214" s="1900"/>
      <c r="H214" s="513" t="s">
        <v>785</v>
      </c>
      <c r="I214" s="514" t="s">
        <v>786</v>
      </c>
      <c r="J214" s="433"/>
    </row>
    <row r="215" spans="1:10">
      <c r="A215" s="521"/>
      <c r="B215" s="522"/>
      <c r="C215" s="524"/>
      <c r="D215" s="524"/>
      <c r="E215" s="607"/>
      <c r="F215" s="447"/>
      <c r="G215" s="525"/>
      <c r="H215" s="540"/>
      <c r="I215" s="520"/>
      <c r="J215" s="433"/>
    </row>
    <row r="216" spans="1:10" s="413" customFormat="1">
      <c r="A216" s="605" t="s">
        <v>681</v>
      </c>
      <c r="B216" s="606"/>
      <c r="C216" s="523" t="s">
        <v>526</v>
      </c>
      <c r="D216" s="524"/>
      <c r="E216" s="607"/>
      <c r="F216" s="447"/>
      <c r="G216" s="525"/>
      <c r="H216" s="447"/>
      <c r="I216" s="526"/>
      <c r="J216" s="434"/>
    </row>
    <row r="217" spans="1:10" s="413" customFormat="1">
      <c r="A217" s="521">
        <v>1</v>
      </c>
      <c r="B217" s="522"/>
      <c r="C217" s="524" t="s">
        <v>823</v>
      </c>
      <c r="D217" s="524"/>
      <c r="E217" s="607"/>
      <c r="F217" s="583">
        <f>'Beckup Gedung'!J227</f>
        <v>470.64000000000004</v>
      </c>
      <c r="G217" s="525" t="s">
        <v>450</v>
      </c>
      <c r="H217" s="447">
        <f>Upah!F44</f>
        <v>650000</v>
      </c>
      <c r="I217" s="526">
        <f>H217*F217</f>
        <v>305916000</v>
      </c>
      <c r="J217" s="434"/>
    </row>
    <row r="218" spans="1:10" s="413" customFormat="1">
      <c r="A218" s="521">
        <v>2</v>
      </c>
      <c r="B218" s="522"/>
      <c r="C218" s="524" t="s">
        <v>824</v>
      </c>
      <c r="D218" s="524"/>
      <c r="E218" s="607"/>
      <c r="F218" s="583">
        <f>'Beckup Gedung'!J228</f>
        <v>186.4</v>
      </c>
      <c r="G218" s="525" t="str">
        <f>G219</f>
        <v>m¹</v>
      </c>
      <c r="H218" s="447">
        <f>Upah!F45</f>
        <v>120000</v>
      </c>
      <c r="I218" s="526">
        <f t="shared" ref="I218:I224" si="17">H218*F218</f>
        <v>22368000</v>
      </c>
      <c r="J218" s="434"/>
    </row>
    <row r="219" spans="1:10" s="413" customFormat="1">
      <c r="A219" s="521">
        <v>3</v>
      </c>
      <c r="B219" s="522"/>
      <c r="C219" s="524" t="s">
        <v>912</v>
      </c>
      <c r="D219" s="524"/>
      <c r="E219" s="607"/>
      <c r="F219" s="583">
        <f>'Beckup Gedung'!J229</f>
        <v>93.2</v>
      </c>
      <c r="G219" s="525" t="s">
        <v>453</v>
      </c>
      <c r="H219" s="447">
        <f>'Rek Anal'!E186</f>
        <v>182237</v>
      </c>
      <c r="I219" s="526">
        <f t="shared" si="17"/>
        <v>16984488.400000002</v>
      </c>
      <c r="J219" s="434"/>
    </row>
    <row r="220" spans="1:10" s="413" customFormat="1">
      <c r="A220" s="521">
        <v>5</v>
      </c>
      <c r="B220" s="522"/>
      <c r="C220" s="524" t="s">
        <v>913</v>
      </c>
      <c r="D220" s="524"/>
      <c r="E220" s="607"/>
      <c r="F220" s="583">
        <f>'Beckup Gedung'!J231</f>
        <v>93.2</v>
      </c>
      <c r="G220" s="525" t="s">
        <v>453</v>
      </c>
      <c r="H220" s="447">
        <f>H219/2</f>
        <v>91118.5</v>
      </c>
      <c r="I220" s="526">
        <f t="shared" si="17"/>
        <v>8492244.2000000011</v>
      </c>
      <c r="J220" s="434"/>
    </row>
    <row r="221" spans="1:10" s="413" customFormat="1">
      <c r="A221" s="521">
        <v>6</v>
      </c>
      <c r="B221" s="522"/>
      <c r="C221" s="524" t="s">
        <v>828</v>
      </c>
      <c r="D221" s="524"/>
      <c r="E221" s="607"/>
      <c r="F221" s="583">
        <f>'Beckup Gedung'!J232</f>
        <v>591.31732217234594</v>
      </c>
      <c r="G221" s="525" t="s">
        <v>450</v>
      </c>
      <c r="H221" s="447">
        <f>'Rek Anal'!E51</f>
        <v>169548.5</v>
      </c>
      <c r="I221" s="526">
        <f t="shared" si="17"/>
        <v>100256964.998338</v>
      </c>
      <c r="J221" s="434"/>
    </row>
    <row r="222" spans="1:10" s="413" customFormat="1">
      <c r="A222" s="521">
        <v>7</v>
      </c>
      <c r="B222" s="522"/>
      <c r="C222" s="524" t="s">
        <v>861</v>
      </c>
      <c r="D222" s="524"/>
      <c r="E222" s="607"/>
      <c r="F222" s="583">
        <f>'Beckup Gedung'!J236</f>
        <v>65.562207646771441</v>
      </c>
      <c r="G222" s="525" t="str">
        <f>G219</f>
        <v>m¹</v>
      </c>
      <c r="H222" s="447">
        <f>'Rek Anal'!E52</f>
        <v>202816.9</v>
      </c>
      <c r="I222" s="526">
        <f t="shared" si="17"/>
        <v>13297123.712074479</v>
      </c>
      <c r="J222" s="434"/>
    </row>
    <row r="223" spans="1:10" s="413" customFormat="1">
      <c r="A223" s="521">
        <v>8</v>
      </c>
      <c r="B223" s="522"/>
      <c r="C223" s="524" t="s">
        <v>830</v>
      </c>
      <c r="D223" s="524"/>
      <c r="E223" s="607"/>
      <c r="F223" s="583">
        <f>'Beckup Gedung'!J237</f>
        <v>2</v>
      </c>
      <c r="G223" s="525" t="s">
        <v>7</v>
      </c>
      <c r="H223" s="447">
        <f>Bahan!E247</f>
        <v>190000</v>
      </c>
      <c r="I223" s="526">
        <f t="shared" si="17"/>
        <v>380000</v>
      </c>
      <c r="J223" s="434"/>
    </row>
    <row r="224" spans="1:10" s="413" customFormat="1">
      <c r="A224" s="521">
        <v>9</v>
      </c>
      <c r="B224" s="522"/>
      <c r="C224" s="524" t="s">
        <v>831</v>
      </c>
      <c r="D224" s="524"/>
      <c r="E224" s="607"/>
      <c r="F224" s="583">
        <f>'Beckup Gedung'!J238</f>
        <v>4</v>
      </c>
      <c r="G224" s="525" t="s">
        <v>7</v>
      </c>
      <c r="H224" s="612">
        <f>Bahan!E246</f>
        <v>160000</v>
      </c>
      <c r="I224" s="611">
        <f t="shared" si="17"/>
        <v>640000</v>
      </c>
      <c r="J224" s="434"/>
    </row>
    <row r="225" spans="1:11" s="413" customFormat="1">
      <c r="A225" s="622"/>
      <c r="B225" s="623"/>
      <c r="C225" s="618"/>
      <c r="D225" s="618"/>
      <c r="E225" s="624"/>
      <c r="F225" s="583"/>
      <c r="G225" s="625"/>
      <c r="H225" s="641"/>
      <c r="I225" s="642">
        <f>SUM(I217:I224)</f>
        <v>468334821.31041241</v>
      </c>
      <c r="J225" s="434"/>
    </row>
    <row r="226" spans="1:11" s="413" customFormat="1">
      <c r="A226" s="605" t="s">
        <v>470</v>
      </c>
      <c r="B226" s="606"/>
      <c r="C226" s="523" t="s">
        <v>527</v>
      </c>
      <c r="D226" s="524"/>
      <c r="E226" s="607"/>
      <c r="F226" s="447"/>
      <c r="G226" s="525"/>
      <c r="H226" s="447"/>
      <c r="I226" s="627"/>
      <c r="J226" s="434"/>
    </row>
    <row r="227" spans="1:11" s="413" customFormat="1">
      <c r="A227" s="521">
        <v>1</v>
      </c>
      <c r="B227" s="522"/>
      <c r="C227" s="524" t="s">
        <v>1039</v>
      </c>
      <c r="D227" s="524"/>
      <c r="E227" s="607"/>
      <c r="F227" s="583">
        <f>'Beckup Gedung'!J241</f>
        <v>252.21750000000003</v>
      </c>
      <c r="G227" s="525" t="s">
        <v>450</v>
      </c>
      <c r="H227" s="447">
        <f>'Rek Anal'!E100</f>
        <v>254324.84</v>
      </c>
      <c r="I227" s="627">
        <f>H227*F227</f>
        <v>64145175.332700007</v>
      </c>
      <c r="J227" s="434"/>
      <c r="K227" s="501">
        <f>1/H227</f>
        <v>3.9319792750090786E-6</v>
      </c>
    </row>
    <row r="228" spans="1:11" s="413" customFormat="1">
      <c r="A228" s="521">
        <v>2</v>
      </c>
      <c r="B228" s="522"/>
      <c r="C228" s="524" t="s">
        <v>1040</v>
      </c>
      <c r="D228" s="524"/>
      <c r="E228" s="607"/>
      <c r="F228" s="583">
        <f>'Beckup Gedung'!J249</f>
        <v>116.92999999999999</v>
      </c>
      <c r="G228" s="525" t="s">
        <v>20</v>
      </c>
      <c r="H228" s="447">
        <f>'Rek Anal'!E102</f>
        <v>45513.93</v>
      </c>
      <c r="I228" s="627">
        <f>H228*F228</f>
        <v>5321943.8349000001</v>
      </c>
      <c r="J228" s="434"/>
    </row>
    <row r="229" spans="1:11" s="413" customFormat="1">
      <c r="A229" s="521">
        <v>3</v>
      </c>
      <c r="B229" s="522"/>
      <c r="C229" s="524" t="s">
        <v>907</v>
      </c>
      <c r="D229" s="524"/>
      <c r="E229" s="607"/>
      <c r="F229" s="583">
        <f>'Beckup Gedung'!J257</f>
        <v>45.28</v>
      </c>
      <c r="G229" s="525" t="str">
        <f>G228</f>
        <v>m'</v>
      </c>
      <c r="H229" s="612">
        <f>'Rek Anal'!E103</f>
        <v>54923</v>
      </c>
      <c r="I229" s="611">
        <f t="shared" ref="I229" si="18">H229*F229</f>
        <v>2486913.44</v>
      </c>
      <c r="J229" s="434"/>
    </row>
    <row r="230" spans="1:11" s="413" customFormat="1">
      <c r="A230" s="521"/>
      <c r="B230" s="522"/>
      <c r="C230" s="524"/>
      <c r="D230" s="524"/>
      <c r="E230" s="607"/>
      <c r="F230" s="447"/>
      <c r="G230" s="525"/>
      <c r="H230" s="518"/>
      <c r="I230" s="643">
        <f>SUM(I227:I229)</f>
        <v>71954032.607600003</v>
      </c>
      <c r="J230" s="434"/>
    </row>
    <row r="231" spans="1:11" s="413" customFormat="1">
      <c r="A231" s="605" t="s">
        <v>471</v>
      </c>
      <c r="B231" s="606"/>
      <c r="C231" s="523" t="s">
        <v>806</v>
      </c>
      <c r="D231" s="524"/>
      <c r="E231" s="607"/>
      <c r="F231" s="447"/>
      <c r="G231" s="525"/>
      <c r="H231" s="447"/>
      <c r="I231" s="526"/>
      <c r="J231" s="434"/>
    </row>
    <row r="232" spans="1:11" s="413" customFormat="1">
      <c r="A232" s="521">
        <v>1</v>
      </c>
      <c r="B232" s="522"/>
      <c r="C232" s="524" t="s">
        <v>832</v>
      </c>
      <c r="D232" s="524"/>
      <c r="E232" s="607"/>
      <c r="F232" s="583">
        <f>'Beckup Gedung'!J261</f>
        <v>448.07499999999993</v>
      </c>
      <c r="G232" s="525" t="s">
        <v>450</v>
      </c>
      <c r="H232" s="447">
        <f>'Rek Anal'!E75</f>
        <v>155441</v>
      </c>
      <c r="I232" s="608">
        <f>H232*F232</f>
        <v>69649226.074999988</v>
      </c>
      <c r="J232" s="434"/>
    </row>
    <row r="233" spans="1:11" s="413" customFormat="1">
      <c r="A233" s="521">
        <v>2</v>
      </c>
      <c r="B233" s="522"/>
      <c r="C233" s="524" t="s">
        <v>833</v>
      </c>
      <c r="D233" s="524"/>
      <c r="E233" s="607"/>
      <c r="F233" s="583">
        <f>'Beckup Gedung'!J262</f>
        <v>276.98749999999995</v>
      </c>
      <c r="G233" s="525" t="s">
        <v>450</v>
      </c>
      <c r="H233" s="447">
        <f>'Rek Anal'!E66</f>
        <v>54046.3</v>
      </c>
      <c r="I233" s="608">
        <f>H233*F233</f>
        <v>14970149.521249998</v>
      </c>
      <c r="J233" s="434"/>
    </row>
    <row r="234" spans="1:11" s="413" customFormat="1">
      <c r="A234" s="521">
        <v>3</v>
      </c>
      <c r="B234" s="522"/>
      <c r="C234" s="524" t="s">
        <v>958</v>
      </c>
      <c r="D234" s="524"/>
      <c r="E234" s="607"/>
      <c r="F234" s="583">
        <f>'Beckup Gedung'!J266</f>
        <v>171.08749999999998</v>
      </c>
      <c r="G234" s="525" t="s">
        <v>450</v>
      </c>
      <c r="H234" s="447">
        <f>'Rek Anal'!E69</f>
        <v>127059.9</v>
      </c>
      <c r="I234" s="608">
        <f>H234*F234</f>
        <v>21738360.641249996</v>
      </c>
      <c r="J234" s="434"/>
    </row>
    <row r="235" spans="1:11" s="413" customFormat="1">
      <c r="A235" s="521">
        <v>4</v>
      </c>
      <c r="B235" s="522"/>
      <c r="C235" s="524" t="s">
        <v>905</v>
      </c>
      <c r="D235" s="524"/>
      <c r="E235" s="607"/>
      <c r="F235" s="583">
        <f>'Beckup Gedung'!J273</f>
        <v>137.69999999999999</v>
      </c>
      <c r="G235" s="525" t="s">
        <v>20</v>
      </c>
      <c r="H235" s="447">
        <f>'Rek Anal'!E71</f>
        <v>25752.1</v>
      </c>
      <c r="I235" s="608">
        <f>H235*F235</f>
        <v>3546064.1699999995</v>
      </c>
      <c r="J235" s="434"/>
    </row>
    <row r="236" spans="1:11" s="413" customFormat="1">
      <c r="A236" s="521">
        <v>5</v>
      </c>
      <c r="B236" s="522"/>
      <c r="C236" s="524" t="s">
        <v>906</v>
      </c>
      <c r="D236" s="524"/>
      <c r="E236" s="607"/>
      <c r="F236" s="583">
        <f>'Beckup Gedung'!J274</f>
        <v>186.20000000000002</v>
      </c>
      <c r="G236" s="525" t="s">
        <v>20</v>
      </c>
      <c r="H236" s="612">
        <f>'Rek Anal'!E70</f>
        <v>32407.1</v>
      </c>
      <c r="I236" s="611">
        <f>H236*F236</f>
        <v>6034202.0200000005</v>
      </c>
      <c r="J236" s="434"/>
    </row>
    <row r="237" spans="1:11" s="413" customFormat="1">
      <c r="A237" s="521"/>
      <c r="B237" s="522"/>
      <c r="C237" s="524"/>
      <c r="D237" s="524"/>
      <c r="E237" s="607"/>
      <c r="F237" s="618"/>
      <c r="G237" s="525"/>
      <c r="H237" s="540"/>
      <c r="I237" s="619">
        <f>SUM(I232:I236)</f>
        <v>115938002.42749998</v>
      </c>
      <c r="J237" s="434"/>
    </row>
    <row r="238" spans="1:11">
      <c r="A238" s="605" t="s">
        <v>471</v>
      </c>
      <c r="B238" s="606"/>
      <c r="C238" s="523" t="s">
        <v>472</v>
      </c>
      <c r="D238" s="524"/>
      <c r="E238" s="607"/>
      <c r="F238" s="447"/>
      <c r="G238" s="525"/>
      <c r="H238" s="447"/>
      <c r="I238" s="627"/>
      <c r="J238" s="433"/>
    </row>
    <row r="239" spans="1:11">
      <c r="A239" s="521">
        <v>1</v>
      </c>
      <c r="B239" s="522"/>
      <c r="C239" s="524" t="s">
        <v>473</v>
      </c>
      <c r="D239" s="524"/>
      <c r="E239" s="607"/>
      <c r="F239" s="583">
        <f>'Beckup Gedung'!J281</f>
        <v>9</v>
      </c>
      <c r="G239" s="525" t="s">
        <v>7</v>
      </c>
      <c r="H239" s="447">
        <f>'Rek Anal'!E125</f>
        <v>349184</v>
      </c>
      <c r="I239" s="621">
        <f t="shared" ref="I239:I244" si="19">H239*F239</f>
        <v>3142656</v>
      </c>
      <c r="J239" s="433"/>
    </row>
    <row r="240" spans="1:11">
      <c r="A240" s="521">
        <v>2</v>
      </c>
      <c r="B240" s="522"/>
      <c r="C240" s="524" t="s">
        <v>474</v>
      </c>
      <c r="D240" s="524"/>
      <c r="E240" s="607"/>
      <c r="F240" s="583">
        <f>'Beckup Gedung'!J282</f>
        <v>13.5</v>
      </c>
      <c r="G240" s="525" t="s">
        <v>18</v>
      </c>
      <c r="H240" s="447">
        <f>'Rek Anal'!E126</f>
        <v>105655</v>
      </c>
      <c r="I240" s="621">
        <f t="shared" si="19"/>
        <v>1426342.5</v>
      </c>
      <c r="J240" s="433"/>
    </row>
    <row r="241" spans="1:10">
      <c r="A241" s="521">
        <v>3</v>
      </c>
      <c r="B241" s="522"/>
      <c r="C241" s="524" t="s">
        <v>475</v>
      </c>
      <c r="D241" s="524"/>
      <c r="E241" s="607"/>
      <c r="F241" s="583">
        <f>'Beckup Gedung'!J283</f>
        <v>9</v>
      </c>
      <c r="G241" s="525" t="str">
        <f>G239</f>
        <v>bh</v>
      </c>
      <c r="H241" s="447">
        <f>'Rek Anal'!E128</f>
        <v>174612.9</v>
      </c>
      <c r="I241" s="621">
        <f t="shared" si="19"/>
        <v>1571516.0999999999</v>
      </c>
      <c r="J241" s="433"/>
    </row>
    <row r="242" spans="1:10">
      <c r="A242" s="521">
        <v>4</v>
      </c>
      <c r="B242" s="522"/>
      <c r="C242" s="524" t="s">
        <v>476</v>
      </c>
      <c r="D242" s="524"/>
      <c r="E242" s="607"/>
      <c r="F242" s="583">
        <f>'Beckup Gedung'!J284</f>
        <v>48</v>
      </c>
      <c r="G242" s="525" t="str">
        <f>G240</f>
        <v>ps</v>
      </c>
      <c r="H242" s="447">
        <f>'Rek Anal'!E130</f>
        <v>59247.1</v>
      </c>
      <c r="I242" s="621">
        <f t="shared" si="19"/>
        <v>2843860.8</v>
      </c>
      <c r="J242" s="433"/>
    </row>
    <row r="243" spans="1:10">
      <c r="A243" s="521">
        <v>5</v>
      </c>
      <c r="B243" s="522"/>
      <c r="C243" s="524" t="s">
        <v>477</v>
      </c>
      <c r="D243" s="524"/>
      <c r="E243" s="607"/>
      <c r="F243" s="583">
        <f>'Beckup Gedung'!J285</f>
        <v>48</v>
      </c>
      <c r="G243" s="525" t="str">
        <f>G241</f>
        <v>bh</v>
      </c>
      <c r="H243" s="447">
        <f>'Rek Anal'!E129</f>
        <v>82897.100000000006</v>
      </c>
      <c r="I243" s="621">
        <f t="shared" si="19"/>
        <v>3979060.8000000003</v>
      </c>
      <c r="J243" s="433"/>
    </row>
    <row r="244" spans="1:10">
      <c r="A244" s="521">
        <v>6</v>
      </c>
      <c r="B244" s="522"/>
      <c r="C244" s="524" t="s">
        <v>478</v>
      </c>
      <c r="D244" s="524"/>
      <c r="E244" s="607"/>
      <c r="F244" s="583">
        <f>'Beckup Gedung'!J286</f>
        <v>48</v>
      </c>
      <c r="G244" s="525" t="str">
        <f>G242</f>
        <v>ps</v>
      </c>
      <c r="H244" s="447">
        <f>'Rek Anal'!E131</f>
        <v>92455</v>
      </c>
      <c r="I244" s="628">
        <f t="shared" si="19"/>
        <v>4437840</v>
      </c>
      <c r="J244" s="433"/>
    </row>
    <row r="245" spans="1:10">
      <c r="A245" s="521"/>
      <c r="B245" s="522"/>
      <c r="C245" s="524"/>
      <c r="D245" s="524"/>
      <c r="E245" s="607"/>
      <c r="F245" s="447"/>
      <c r="G245" s="525"/>
      <c r="H245" s="518"/>
      <c r="I245" s="643">
        <f>SUM(I239:I244)</f>
        <v>17401276.199999999</v>
      </c>
      <c r="J245" s="433"/>
    </row>
    <row r="246" spans="1:10">
      <c r="A246" s="605" t="s">
        <v>479</v>
      </c>
      <c r="B246" s="606"/>
      <c r="C246" s="523" t="s">
        <v>480</v>
      </c>
      <c r="D246" s="524"/>
      <c r="E246" s="607"/>
      <c r="F246" s="447"/>
      <c r="G246" s="525"/>
      <c r="H246" s="447"/>
      <c r="I246" s="627"/>
      <c r="J246" s="433"/>
    </row>
    <row r="247" spans="1:10">
      <c r="A247" s="521">
        <v>1</v>
      </c>
      <c r="B247" s="522"/>
      <c r="C247" s="524" t="s">
        <v>972</v>
      </c>
      <c r="D247" s="524"/>
      <c r="E247" s="607"/>
      <c r="F247" s="583">
        <f>'Beckup Gedung'!J289</f>
        <v>154.70089999999999</v>
      </c>
      <c r="G247" s="525" t="str">
        <f>G227</f>
        <v>m²</v>
      </c>
      <c r="H247" s="447">
        <f>H156</f>
        <v>62106</v>
      </c>
      <c r="I247" s="621">
        <f>H247*F247</f>
        <v>9607854.0954</v>
      </c>
      <c r="J247" s="433"/>
    </row>
    <row r="248" spans="1:10" s="111" customFormat="1">
      <c r="A248" s="521">
        <v>2</v>
      </c>
      <c r="B248" s="522"/>
      <c r="C248" s="524" t="s">
        <v>973</v>
      </c>
      <c r="D248" s="524"/>
      <c r="E248" s="607"/>
      <c r="F248" s="583">
        <f>'Beckup Gedung'!J290</f>
        <v>42.580799999999996</v>
      </c>
      <c r="G248" s="525" t="str">
        <f>G247</f>
        <v>m²</v>
      </c>
      <c r="H248" s="447">
        <f>H157</f>
        <v>87626</v>
      </c>
      <c r="I248" s="621">
        <f>H248*F248</f>
        <v>3731185.1807999997</v>
      </c>
      <c r="J248" s="433"/>
    </row>
    <row r="249" spans="1:10" s="111" customFormat="1">
      <c r="A249" s="521">
        <v>3</v>
      </c>
      <c r="B249" s="522"/>
      <c r="C249" s="524" t="s">
        <v>917</v>
      </c>
      <c r="D249" s="524"/>
      <c r="E249" s="607"/>
      <c r="F249" s="583">
        <f>'Beckup Gedung'!J292</f>
        <v>184.80199999999999</v>
      </c>
      <c r="G249" s="525" t="str">
        <f>G247</f>
        <v>m²</v>
      </c>
      <c r="H249" s="447">
        <f>'Rek Anal'!E93</f>
        <v>42336.800000000003</v>
      </c>
      <c r="I249" s="621">
        <f>H249*F249</f>
        <v>7823925.3136</v>
      </c>
      <c r="J249" s="433"/>
    </row>
    <row r="250" spans="1:10">
      <c r="A250" s="521">
        <v>4</v>
      </c>
      <c r="B250" s="522"/>
      <c r="C250" s="524" t="s">
        <v>911</v>
      </c>
      <c r="D250" s="524"/>
      <c r="E250" s="607"/>
      <c r="F250" s="583">
        <f>'Beckup Gedung'!J293</f>
        <v>720.01499999999999</v>
      </c>
      <c r="G250" s="525" t="str">
        <f>G247</f>
        <v>m²</v>
      </c>
      <c r="H250" s="447">
        <f>'Rek Anal'!E95</f>
        <v>33218.9</v>
      </c>
      <c r="I250" s="621">
        <f>H250*F250</f>
        <v>23918106.283500001</v>
      </c>
      <c r="J250" s="433"/>
    </row>
    <row r="251" spans="1:10">
      <c r="A251" s="521">
        <v>5</v>
      </c>
      <c r="B251" s="522"/>
      <c r="C251" s="524" t="s">
        <v>910</v>
      </c>
      <c r="D251" s="524"/>
      <c r="E251" s="607"/>
      <c r="F251" s="583">
        <f>'Beckup Gedung'!J308</f>
        <v>276.98749999999995</v>
      </c>
      <c r="G251" s="525" t="str">
        <f>+G247</f>
        <v>m²</v>
      </c>
      <c r="H251" s="447">
        <f>'Rek Anal'!E96</f>
        <v>39794.699999999997</v>
      </c>
      <c r="I251" s="628">
        <f>H251*F251</f>
        <v>11022634.466249997</v>
      </c>
      <c r="J251" s="433"/>
    </row>
    <row r="252" spans="1:10">
      <c r="A252" s="521"/>
      <c r="B252" s="522"/>
      <c r="C252" s="524"/>
      <c r="D252" s="524"/>
      <c r="E252" s="607"/>
      <c r="F252" s="447"/>
      <c r="G252" s="525"/>
      <c r="H252" s="518"/>
      <c r="I252" s="643">
        <f>SUM(I247:I251)</f>
        <v>56103705.339549996</v>
      </c>
      <c r="J252" s="433"/>
    </row>
    <row r="253" spans="1:10">
      <c r="A253" s="605" t="s">
        <v>482</v>
      </c>
      <c r="B253" s="606"/>
      <c r="C253" s="523" t="s">
        <v>834</v>
      </c>
      <c r="D253" s="524"/>
      <c r="E253" s="607"/>
      <c r="F253" s="447"/>
      <c r="G253" s="525"/>
      <c r="H253" s="447"/>
      <c r="I253" s="627"/>
      <c r="J253" s="433"/>
    </row>
    <row r="254" spans="1:10">
      <c r="A254" s="521">
        <v>1</v>
      </c>
      <c r="B254" s="522"/>
      <c r="C254" s="524" t="s">
        <v>484</v>
      </c>
      <c r="D254" s="524"/>
      <c r="E254" s="607"/>
      <c r="F254" s="583">
        <f>'Beckup Gedung'!J311</f>
        <v>41</v>
      </c>
      <c r="G254" s="525" t="s">
        <v>8</v>
      </c>
      <c r="H254" s="447">
        <f>'Rek Anal'!E155</f>
        <v>390571.5</v>
      </c>
      <c r="I254" s="621">
        <f t="shared" ref="I254:I264" si="20">H254*F254</f>
        <v>16013431.5</v>
      </c>
      <c r="J254" s="433"/>
    </row>
    <row r="255" spans="1:10">
      <c r="A255" s="521">
        <v>2</v>
      </c>
      <c r="B255" s="522"/>
      <c r="C255" s="524" t="s">
        <v>485</v>
      </c>
      <c r="D255" s="524"/>
      <c r="E255" s="607"/>
      <c r="F255" s="583">
        <f>'Beckup Gedung'!J312</f>
        <v>37</v>
      </c>
      <c r="G255" s="525" t="str">
        <f>+G254</f>
        <v>ttk</v>
      </c>
      <c r="H255" s="447">
        <f>'Rek Anal'!E156</f>
        <v>247714.5</v>
      </c>
      <c r="I255" s="621">
        <f t="shared" si="20"/>
        <v>9165436.5</v>
      </c>
      <c r="J255" s="433"/>
    </row>
    <row r="256" spans="1:10">
      <c r="A256" s="521">
        <v>3</v>
      </c>
      <c r="B256" s="522"/>
      <c r="C256" s="524" t="s">
        <v>811</v>
      </c>
      <c r="D256" s="524"/>
      <c r="E256" s="607"/>
      <c r="F256" s="583">
        <f>'Beckup Gedung'!J313</f>
        <v>8</v>
      </c>
      <c r="G256" s="525" t="str">
        <f>+G255</f>
        <v>ttk</v>
      </c>
      <c r="H256" s="447">
        <f>H255</f>
        <v>247714.5</v>
      </c>
      <c r="I256" s="621">
        <f t="shared" si="20"/>
        <v>1981716</v>
      </c>
      <c r="J256" s="433"/>
    </row>
    <row r="257" spans="1:11">
      <c r="A257" s="521">
        <v>4</v>
      </c>
      <c r="B257" s="522"/>
      <c r="C257" s="524" t="s">
        <v>812</v>
      </c>
      <c r="D257" s="524"/>
      <c r="E257" s="607"/>
      <c r="F257" s="583">
        <f>F255</f>
        <v>37</v>
      </c>
      <c r="G257" s="525" t="str">
        <f>+G254</f>
        <v>ttk</v>
      </c>
      <c r="H257" s="447">
        <f>'Rek Anal'!E159</f>
        <v>53691</v>
      </c>
      <c r="I257" s="621">
        <f t="shared" si="20"/>
        <v>1986567</v>
      </c>
      <c r="J257" s="433"/>
    </row>
    <row r="258" spans="1:11">
      <c r="A258" s="521">
        <v>5</v>
      </c>
      <c r="B258" s="522"/>
      <c r="C258" s="524" t="s">
        <v>813</v>
      </c>
      <c r="D258" s="524"/>
      <c r="E258" s="607"/>
      <c r="F258" s="583">
        <f>F256</f>
        <v>8</v>
      </c>
      <c r="G258" s="525" t="str">
        <f>+G255</f>
        <v>ttk</v>
      </c>
      <c r="H258" s="447">
        <f>'Rek Anal'!E161</f>
        <v>95304</v>
      </c>
      <c r="I258" s="621">
        <f t="shared" si="20"/>
        <v>762432</v>
      </c>
      <c r="J258" s="433"/>
    </row>
    <row r="259" spans="1:11">
      <c r="A259" s="521">
        <v>6</v>
      </c>
      <c r="B259" s="522"/>
      <c r="C259" s="524" t="s">
        <v>815</v>
      </c>
      <c r="D259" s="524"/>
      <c r="E259" s="607"/>
      <c r="F259" s="583">
        <f>'Beckup Gedung'!J316</f>
        <v>5</v>
      </c>
      <c r="G259" s="525" t="str">
        <f>G258</f>
        <v>ttk</v>
      </c>
      <c r="H259" s="447">
        <f>'Rek Anal'!E158</f>
        <v>52965</v>
      </c>
      <c r="I259" s="621">
        <f t="shared" si="20"/>
        <v>264825</v>
      </c>
      <c r="J259" s="433"/>
    </row>
    <row r="260" spans="1:11">
      <c r="A260" s="521">
        <v>7</v>
      </c>
      <c r="B260" s="522"/>
      <c r="C260" s="524" t="s">
        <v>816</v>
      </c>
      <c r="D260" s="524"/>
      <c r="E260" s="607"/>
      <c r="F260" s="583">
        <f>'Beckup Gedung'!J317</f>
        <v>6</v>
      </c>
      <c r="G260" s="525" t="str">
        <f>G259</f>
        <v>ttk</v>
      </c>
      <c r="H260" s="447">
        <f>'Rek Anal'!E163</f>
        <v>143143.00000000003</v>
      </c>
      <c r="I260" s="526">
        <f t="shared" si="20"/>
        <v>858858.00000000023</v>
      </c>
      <c r="J260" s="433"/>
    </row>
    <row r="261" spans="1:11">
      <c r="A261" s="521">
        <v>8</v>
      </c>
      <c r="B261" s="522"/>
      <c r="C261" s="524" t="s">
        <v>817</v>
      </c>
      <c r="D261" s="524"/>
      <c r="E261" s="607"/>
      <c r="F261" s="583">
        <f>'Beckup Gedung'!J318</f>
        <v>35</v>
      </c>
      <c r="G261" s="525" t="str">
        <f>G259</f>
        <v>ttk</v>
      </c>
      <c r="H261" s="447">
        <f>'Rek Anal'!E162</f>
        <v>167343</v>
      </c>
      <c r="I261" s="621">
        <f t="shared" si="20"/>
        <v>5857005</v>
      </c>
      <c r="J261" s="433"/>
    </row>
    <row r="262" spans="1:11">
      <c r="A262" s="521">
        <v>9</v>
      </c>
      <c r="B262" s="522"/>
      <c r="C262" s="524" t="s">
        <v>818</v>
      </c>
      <c r="D262" s="524"/>
      <c r="E262" s="607"/>
      <c r="F262" s="583">
        <f>'Beckup Gedung'!J321</f>
        <v>1</v>
      </c>
      <c r="G262" s="525" t="s">
        <v>7</v>
      </c>
      <c r="H262" s="447">
        <f>Bahan!E44</f>
        <v>250000</v>
      </c>
      <c r="I262" s="621">
        <f t="shared" si="20"/>
        <v>250000</v>
      </c>
      <c r="J262" s="433"/>
    </row>
    <row r="263" spans="1:11">
      <c r="A263" s="521">
        <v>10</v>
      </c>
      <c r="B263" s="522"/>
      <c r="C263" s="524" t="s">
        <v>819</v>
      </c>
      <c r="D263" s="524"/>
      <c r="E263" s="607"/>
      <c r="F263" s="583">
        <v>6</v>
      </c>
      <c r="G263" s="525" t="s">
        <v>7</v>
      </c>
      <c r="H263" s="447">
        <f>Bahan!E46</f>
        <v>75000</v>
      </c>
      <c r="I263" s="621">
        <f t="shared" si="20"/>
        <v>450000</v>
      </c>
      <c r="J263" s="433"/>
    </row>
    <row r="264" spans="1:11">
      <c r="A264" s="521">
        <v>11</v>
      </c>
      <c r="B264" s="522"/>
      <c r="C264" s="524" t="s">
        <v>550</v>
      </c>
      <c r="D264" s="524"/>
      <c r="E264" s="607"/>
      <c r="F264" s="583">
        <v>2</v>
      </c>
      <c r="G264" s="525" t="s">
        <v>835</v>
      </c>
      <c r="H264" s="612">
        <f>'Rek Anal'!E182</f>
        <v>7341023</v>
      </c>
      <c r="I264" s="628">
        <f t="shared" si="20"/>
        <v>14682046</v>
      </c>
      <c r="J264" s="433"/>
    </row>
    <row r="265" spans="1:11">
      <c r="A265" s="521"/>
      <c r="B265" s="522"/>
      <c r="C265" s="524"/>
      <c r="D265" s="524"/>
      <c r="E265" s="607"/>
      <c r="F265" s="447"/>
      <c r="G265" s="525"/>
      <c r="H265" s="518"/>
      <c r="I265" s="643">
        <f>SUM(I254:I264)</f>
        <v>52272317</v>
      </c>
      <c r="J265" s="433"/>
    </row>
    <row r="266" spans="1:11">
      <c r="A266" s="605" t="s">
        <v>820</v>
      </c>
      <c r="B266" s="606"/>
      <c r="C266" s="523" t="s">
        <v>951</v>
      </c>
      <c r="D266" s="524"/>
      <c r="E266" s="607"/>
      <c r="F266" s="447"/>
      <c r="G266" s="525"/>
      <c r="H266" s="447"/>
      <c r="I266" s="526"/>
      <c r="J266" s="433"/>
    </row>
    <row r="267" spans="1:11" s="111" customFormat="1">
      <c r="A267" s="521">
        <v>1</v>
      </c>
      <c r="B267" s="522"/>
      <c r="C267" s="524" t="s">
        <v>1052</v>
      </c>
      <c r="D267" s="524"/>
      <c r="E267" s="607"/>
      <c r="F267" s="583">
        <f>'Beckup Gedung'!J326</f>
        <v>10.223999999999998</v>
      </c>
      <c r="G267" s="525" t="str">
        <f>G241</f>
        <v>bh</v>
      </c>
      <c r="H267" s="612">
        <f>H185</f>
        <v>558200.5</v>
      </c>
      <c r="I267" s="611">
        <f>H267*F267</f>
        <v>5707041.9119999995</v>
      </c>
      <c r="J267" s="433"/>
    </row>
    <row r="268" spans="1:11" s="111" customFormat="1">
      <c r="A268" s="521"/>
      <c r="B268" s="522"/>
      <c r="C268" s="524"/>
      <c r="D268" s="524"/>
      <c r="E268" s="607"/>
      <c r="F268" s="540"/>
      <c r="G268" s="519"/>
      <c r="H268" s="540"/>
      <c r="I268" s="520">
        <f>SUM(I267)</f>
        <v>5707041.9119999995</v>
      </c>
      <c r="J268" s="433"/>
      <c r="K268" s="94"/>
    </row>
    <row r="269" spans="1:11" s="111" customFormat="1" ht="15" thickBot="1">
      <c r="A269" s="521"/>
      <c r="B269" s="522"/>
      <c r="C269" s="524"/>
      <c r="D269" s="524"/>
      <c r="E269" s="614"/>
      <c r="F269" s="528"/>
      <c r="G269" s="529"/>
      <c r="H269" s="528"/>
      <c r="I269" s="644"/>
      <c r="J269" s="433"/>
    </row>
    <row r="270" spans="1:11" s="111" customFormat="1" ht="15.75" thickTop="1" thickBot="1">
      <c r="A270" s="613"/>
      <c r="B270" s="530"/>
      <c r="C270" s="527"/>
      <c r="D270" s="527"/>
      <c r="E270" s="645"/>
      <c r="F270" s="615"/>
      <c r="G270" s="646"/>
      <c r="H270" s="615"/>
      <c r="I270" s="647">
        <f>SUM(I114:I268)/2</f>
        <v>1102916104.952817</v>
      </c>
      <c r="J270" s="433"/>
    </row>
    <row r="271" spans="1:11" s="111" customFormat="1" ht="15" thickTop="1">
      <c r="A271" s="507"/>
      <c r="B271" s="508"/>
      <c r="C271" s="508"/>
      <c r="D271" s="508"/>
      <c r="E271" s="508"/>
      <c r="F271" s="508"/>
      <c r="G271" s="617"/>
      <c r="H271" s="508"/>
      <c r="I271" s="508"/>
      <c r="J271" s="433"/>
    </row>
    <row r="272" spans="1:11" ht="15">
      <c r="A272" s="507"/>
      <c r="B272" s="508"/>
      <c r="C272" s="508"/>
      <c r="D272" s="508"/>
      <c r="E272" s="508"/>
      <c r="F272" s="508"/>
      <c r="G272" s="1673"/>
      <c r="H272" s="1792"/>
      <c r="I272" s="1792"/>
      <c r="J272" s="433"/>
    </row>
    <row r="273" spans="1:10" ht="15">
      <c r="A273" s="648"/>
      <c r="B273" s="648"/>
      <c r="C273" s="648"/>
      <c r="D273" s="648"/>
      <c r="E273" s="648"/>
      <c r="F273" s="648"/>
      <c r="G273" s="648"/>
      <c r="H273" s="654" t="str">
        <f>H26</f>
        <v>JIMBARAN, 13 AGUSTUS 2025</v>
      </c>
      <c r="I273" s="1793"/>
      <c r="J273" s="433"/>
    </row>
    <row r="274" spans="1:10" ht="15">
      <c r="A274" s="648"/>
      <c r="B274" s="648"/>
      <c r="C274" s="648"/>
      <c r="D274" s="648"/>
      <c r="E274" s="648"/>
      <c r="F274" s="648"/>
      <c r="G274" s="648"/>
      <c r="H274" s="654" t="str">
        <f t="shared" ref="H274:H282" si="21">H27</f>
        <v>PEJABAT PEMBUAT KOMITMEN</v>
      </c>
      <c r="I274" s="654"/>
      <c r="J274" s="433"/>
    </row>
    <row r="275" spans="1:10" ht="15">
      <c r="A275" s="648"/>
      <c r="B275" s="648"/>
      <c r="C275" s="648"/>
      <c r="D275" s="648"/>
      <c r="E275" s="648"/>
      <c r="F275" s="648"/>
      <c r="G275" s="648"/>
      <c r="H275" s="654" t="str">
        <f t="shared" si="21"/>
        <v>PENGADAAN BARANG/JASA KONSTRUKSI</v>
      </c>
      <c r="I275" s="654"/>
      <c r="J275" s="433"/>
    </row>
    <row r="276" spans="1:10" ht="15">
      <c r="A276" s="648"/>
      <c r="B276" s="648"/>
      <c r="C276" s="648"/>
      <c r="D276" s="648"/>
      <c r="E276" s="648"/>
      <c r="F276" s="648"/>
      <c r="G276" s="648"/>
      <c r="H276" s="654" t="str">
        <f t="shared" si="21"/>
        <v>UNIVERSITAS UDAYANA</v>
      </c>
      <c r="I276" s="654"/>
      <c r="J276" s="433"/>
    </row>
    <row r="277" spans="1:10" ht="15">
      <c r="A277" s="648"/>
      <c r="B277" s="648"/>
      <c r="C277" s="648"/>
      <c r="D277" s="648"/>
      <c r="E277" s="648"/>
      <c r="F277" s="648"/>
      <c r="G277" s="648"/>
      <c r="H277" s="654"/>
      <c r="I277" s="1794"/>
      <c r="J277" s="433"/>
    </row>
    <row r="278" spans="1:10" ht="15">
      <c r="A278" s="648"/>
      <c r="B278" s="648"/>
      <c r="C278" s="648"/>
      <c r="D278" s="648"/>
      <c r="E278" s="648"/>
      <c r="F278" s="648"/>
      <c r="G278" s="648"/>
      <c r="H278" s="654"/>
      <c r="I278" s="1794"/>
      <c r="J278" s="433"/>
    </row>
    <row r="279" spans="1:10" ht="15">
      <c r="A279" s="648"/>
      <c r="B279" s="648"/>
      <c r="C279" s="648"/>
      <c r="D279" s="648"/>
      <c r="E279" s="648"/>
      <c r="F279" s="648"/>
      <c r="G279" s="648"/>
      <c r="H279" s="654"/>
      <c r="I279" s="1792"/>
      <c r="J279" s="433"/>
    </row>
    <row r="280" spans="1:10" ht="15">
      <c r="A280" s="648"/>
      <c r="B280" s="648"/>
      <c r="C280" s="648"/>
      <c r="D280" s="648"/>
      <c r="E280" s="648"/>
      <c r="F280" s="648"/>
      <c r="G280" s="648"/>
      <c r="H280" s="654"/>
      <c r="J280" s="433"/>
    </row>
    <row r="281" spans="1:10" ht="20.25">
      <c r="H281" s="654" t="str">
        <f>H34</f>
        <v>LIE JASA</v>
      </c>
      <c r="J281" s="452"/>
    </row>
    <row r="282" spans="1:10" ht="15">
      <c r="H282" s="654" t="str">
        <f t="shared" si="21"/>
        <v>NIP : 19661218 199103 1 003</v>
      </c>
      <c r="J282" s="457"/>
    </row>
    <row r="283" spans="1:10">
      <c r="J283" s="107"/>
    </row>
    <row r="284" spans="1:10">
      <c r="J284" s="107"/>
    </row>
    <row r="285" spans="1:10" ht="15">
      <c r="J285" s="108"/>
    </row>
    <row r="286" spans="1:10" ht="15">
      <c r="J286" s="108"/>
    </row>
    <row r="287" spans="1:10" ht="15">
      <c r="J287" s="42"/>
    </row>
    <row r="305" spans="10:10" ht="15">
      <c r="J305" s="106"/>
    </row>
    <row r="306" spans="10:10" ht="15">
      <c r="J306" s="455"/>
    </row>
    <row r="307" spans="10:10">
      <c r="J307" s="457"/>
    </row>
    <row r="308" spans="10:10" ht="15">
      <c r="J308" s="458"/>
    </row>
    <row r="309" spans="10:10" ht="15">
      <c r="J309" s="458"/>
    </row>
    <row r="310" spans="10:10" ht="15">
      <c r="J310" s="458"/>
    </row>
    <row r="311" spans="10:10">
      <c r="J311" s="456"/>
    </row>
    <row r="312" spans="10:10">
      <c r="J312" s="456"/>
    </row>
    <row r="313" spans="10:10" ht="15">
      <c r="J313" s="455"/>
    </row>
    <row r="314" spans="10:10">
      <c r="J314" s="456"/>
    </row>
    <row r="315" spans="10:10" ht="15">
      <c r="J315" s="455"/>
    </row>
    <row r="316" spans="10:10" ht="15">
      <c r="J316" s="455"/>
    </row>
    <row r="317" spans="10:10" ht="15">
      <c r="J317" s="455"/>
    </row>
    <row r="318" spans="10:10" ht="15">
      <c r="J318" s="455"/>
    </row>
    <row r="319" spans="10:10" ht="15">
      <c r="J319" s="455"/>
    </row>
    <row r="320" spans="10:10" ht="15">
      <c r="J320" s="455"/>
    </row>
    <row r="321" spans="10:10" ht="15">
      <c r="J321" s="455"/>
    </row>
    <row r="322" spans="10:10" ht="15">
      <c r="J322" s="455"/>
    </row>
    <row r="323" spans="10:10" ht="15">
      <c r="J323" s="455"/>
    </row>
    <row r="324" spans="10:10">
      <c r="J324" s="453"/>
    </row>
    <row r="325" spans="10:10">
      <c r="J325" s="453"/>
    </row>
    <row r="326" spans="10:10">
      <c r="J326" s="459"/>
    </row>
    <row r="327" spans="10:10">
      <c r="J327" s="454"/>
    </row>
    <row r="328" spans="10:10">
      <c r="J328" s="111"/>
    </row>
    <row r="329" spans="10:10">
      <c r="J329" s="111"/>
    </row>
  </sheetData>
  <mergeCells count="26">
    <mergeCell ref="B75:E76"/>
    <mergeCell ref="F75:F76"/>
    <mergeCell ref="G75:G76"/>
    <mergeCell ref="A8:A9"/>
    <mergeCell ref="D42:H42"/>
    <mergeCell ref="D43:H43"/>
    <mergeCell ref="D44:H44"/>
    <mergeCell ref="D39:H39"/>
    <mergeCell ref="D40:H40"/>
    <mergeCell ref="D41:H41"/>
    <mergeCell ref="A1:I1"/>
    <mergeCell ref="A213:A214"/>
    <mergeCell ref="B213:E214"/>
    <mergeCell ref="F213:F214"/>
    <mergeCell ref="G213:G214"/>
    <mergeCell ref="A139:A140"/>
    <mergeCell ref="B139:E140"/>
    <mergeCell ref="F139:F140"/>
    <mergeCell ref="G139:G140"/>
    <mergeCell ref="D45:H45"/>
    <mergeCell ref="D46:H46"/>
    <mergeCell ref="D47:H47"/>
    <mergeCell ref="B8:H9"/>
    <mergeCell ref="A68:I68"/>
    <mergeCell ref="F74:I74"/>
    <mergeCell ref="A75:A76"/>
  </mergeCells>
  <pageMargins left="0.95" right="0.45" top="0.5" bottom="0.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61"/>
  <sheetViews>
    <sheetView topLeftCell="A19" workbookViewId="0">
      <selection activeCell="M21" sqref="M21"/>
    </sheetView>
  </sheetViews>
  <sheetFormatPr defaultRowHeight="14.25"/>
  <cols>
    <col min="1" max="1" width="1.5" style="111" customWidth="1"/>
    <col min="5" max="5" width="3.375" customWidth="1"/>
    <col min="9" max="9" width="13.75" customWidth="1"/>
    <col min="10" max="10" width="17.625" customWidth="1"/>
    <col min="15" max="15" width="12.375" bestFit="1" customWidth="1"/>
  </cols>
  <sheetData>
    <row r="1" spans="2:12" ht="20.25">
      <c r="B1" s="1896" t="s">
        <v>1072</v>
      </c>
      <c r="C1" s="1896"/>
      <c r="D1" s="1896"/>
      <c r="E1" s="1896"/>
      <c r="F1" s="1896"/>
      <c r="G1" s="1896"/>
      <c r="H1" s="1896"/>
      <c r="I1" s="1896"/>
      <c r="J1" s="1896"/>
    </row>
    <row r="2" spans="2:12">
      <c r="B2" s="1679"/>
      <c r="C2" s="1679"/>
      <c r="D2" s="1679"/>
      <c r="E2" s="1679"/>
      <c r="F2" s="1679"/>
      <c r="G2" s="1679"/>
      <c r="H2" s="1679"/>
      <c r="I2" s="1679"/>
      <c r="J2" s="1679"/>
    </row>
    <row r="3" spans="2:12" ht="15">
      <c r="B3" s="509" t="s">
        <v>409</v>
      </c>
      <c r="C3" s="510"/>
      <c r="D3" s="510"/>
      <c r="E3" s="510" t="s">
        <v>410</v>
      </c>
      <c r="F3" s="510" t="s">
        <v>646</v>
      </c>
      <c r="G3" s="651"/>
      <c r="H3" s="652"/>
      <c r="I3" s="1679"/>
      <c r="J3" s="653"/>
    </row>
    <row r="4" spans="2:12" ht="15">
      <c r="B4" s="509" t="s">
        <v>411</v>
      </c>
      <c r="C4" s="510"/>
      <c r="D4" s="510"/>
      <c r="E4" s="510" t="s">
        <v>410</v>
      </c>
      <c r="F4" s="510" t="s">
        <v>1073</v>
      </c>
      <c r="G4" s="651"/>
      <c r="H4" s="652"/>
      <c r="I4" s="1679"/>
      <c r="J4" s="653"/>
    </row>
    <row r="5" spans="2:12" ht="15">
      <c r="B5" s="509" t="s">
        <v>647</v>
      </c>
      <c r="C5" s="510"/>
      <c r="D5" s="510"/>
      <c r="E5" s="510" t="s">
        <v>410</v>
      </c>
      <c r="F5" s="510" t="s">
        <v>837</v>
      </c>
      <c r="G5" s="651"/>
      <c r="H5" s="654"/>
      <c r="I5" s="654"/>
      <c r="J5" s="655"/>
    </row>
    <row r="6" spans="2:12" ht="15">
      <c r="B6" s="509" t="s">
        <v>783</v>
      </c>
      <c r="C6" s="510"/>
      <c r="D6" s="510"/>
      <c r="E6" s="510" t="s">
        <v>410</v>
      </c>
      <c r="F6" s="509">
        <v>2025</v>
      </c>
      <c r="G6" s="651"/>
      <c r="H6" s="654"/>
      <c r="I6" s="654"/>
      <c r="J6" s="655"/>
    </row>
    <row r="7" spans="2:12" ht="15.75" thickBot="1">
      <c r="B7" s="653"/>
      <c r="C7" s="653"/>
      <c r="D7" s="653"/>
      <c r="E7" s="653"/>
      <c r="F7" s="653"/>
      <c r="G7" s="653"/>
      <c r="H7" s="653"/>
      <c r="I7" s="653"/>
      <c r="J7" s="653"/>
    </row>
    <row r="8" spans="2:12" ht="15" thickTop="1">
      <c r="B8" s="1914" t="s">
        <v>0</v>
      </c>
      <c r="C8" s="1906" t="s">
        <v>1061</v>
      </c>
      <c r="D8" s="1907"/>
      <c r="E8" s="1907"/>
      <c r="F8" s="1907"/>
      <c r="G8" s="1907"/>
      <c r="H8" s="1907"/>
      <c r="I8" s="1908"/>
      <c r="J8" s="656"/>
    </row>
    <row r="9" spans="2:12">
      <c r="B9" s="1918"/>
      <c r="C9" s="1919"/>
      <c r="D9" s="1920"/>
      <c r="E9" s="1920"/>
      <c r="F9" s="1920"/>
      <c r="G9" s="1920"/>
      <c r="H9" s="1920"/>
      <c r="I9" s="1921"/>
      <c r="J9" s="1680" t="s">
        <v>1062</v>
      </c>
    </row>
    <row r="10" spans="2:12" ht="15">
      <c r="B10" s="1694" t="s">
        <v>521</v>
      </c>
      <c r="C10" s="1698" t="s">
        <v>1076</v>
      </c>
      <c r="D10" s="1692"/>
      <c r="E10" s="1692"/>
      <c r="F10" s="1688"/>
      <c r="G10" s="1688"/>
      <c r="H10" s="1688"/>
      <c r="I10" s="1689"/>
      <c r="J10" s="1699">
        <f>'Rab Gedung'!I80</f>
        <v>250000</v>
      </c>
      <c r="L10" s="94">
        <f>J10/$J$34*100%</f>
        <v>2.2227729859453999E-4</v>
      </c>
    </row>
    <row r="11" spans="2:12" ht="15">
      <c r="B11" s="1694" t="s">
        <v>525</v>
      </c>
      <c r="C11" s="1698" t="s">
        <v>522</v>
      </c>
      <c r="D11" s="1690"/>
      <c r="E11" s="1690"/>
      <c r="F11" s="1688"/>
      <c r="G11" s="1688"/>
      <c r="H11" s="1688"/>
      <c r="I11" s="1689"/>
      <c r="J11" s="1686">
        <f>'Rab Gedung'!I88</f>
        <v>9772220</v>
      </c>
      <c r="L11" s="94">
        <f t="shared" ref="L11:L36" si="0">J11/$J$34*100%</f>
        <v>8.6885706514861424E-3</v>
      </c>
    </row>
    <row r="12" spans="2:12" ht="15">
      <c r="B12" s="1694" t="s">
        <v>1056</v>
      </c>
      <c r="C12" s="1698" t="s">
        <v>419</v>
      </c>
      <c r="D12" s="1690"/>
      <c r="E12" s="1690"/>
      <c r="F12" s="1688"/>
      <c r="G12" s="1688"/>
      <c r="H12" s="1688"/>
      <c r="I12" s="1689"/>
      <c r="J12" s="1686">
        <f>'Rab Gedung'!I111</f>
        <v>11782920</v>
      </c>
      <c r="L12" s="94">
        <f t="shared" si="0"/>
        <v>1.0476302508622309E-2</v>
      </c>
    </row>
    <row r="13" spans="2:12" ht="15">
      <c r="B13" s="1693" t="s">
        <v>262</v>
      </c>
      <c r="C13" s="1697" t="s">
        <v>1059</v>
      </c>
      <c r="D13" s="1690"/>
      <c r="E13" s="1690"/>
      <c r="F13" s="1688"/>
      <c r="G13" s="1688"/>
      <c r="H13" s="1688"/>
      <c r="I13" s="1689"/>
      <c r="J13" s="1686"/>
      <c r="L13" s="94">
        <f t="shared" si="0"/>
        <v>0</v>
      </c>
    </row>
    <row r="14" spans="2:12" ht="15">
      <c r="B14" s="1695" t="s">
        <v>521</v>
      </c>
      <c r="C14" s="1698" t="s">
        <v>790</v>
      </c>
      <c r="D14" s="1690"/>
      <c r="E14" s="1690"/>
      <c r="F14" s="1688"/>
      <c r="G14" s="1688"/>
      <c r="H14" s="1688"/>
      <c r="I14" s="1689"/>
      <c r="J14" s="1687">
        <f>'Rab Gedung'!I118</f>
        <v>734024.33280000009</v>
      </c>
      <c r="L14" s="94">
        <f t="shared" si="0"/>
        <v>6.5262778318977445E-4</v>
      </c>
    </row>
    <row r="15" spans="2:12" ht="15">
      <c r="B15" s="1696" t="s">
        <v>444</v>
      </c>
      <c r="C15" s="1698" t="s">
        <v>469</v>
      </c>
      <c r="D15" s="1692"/>
      <c r="E15" s="1692"/>
      <c r="F15" s="1688"/>
      <c r="G15" s="1688"/>
      <c r="H15" s="1688"/>
      <c r="I15" s="1689"/>
      <c r="J15" s="1687">
        <f>'Rab Gedung'!I127</f>
        <v>46383597.524439998</v>
      </c>
      <c r="L15" s="94">
        <f t="shared" si="0"/>
        <v>4.124008302731566E-2</v>
      </c>
    </row>
    <row r="16" spans="2:12" ht="15">
      <c r="B16" s="1695" t="s">
        <v>1056</v>
      </c>
      <c r="C16" s="1698" t="s">
        <v>799</v>
      </c>
      <c r="D16" s="1690"/>
      <c r="E16" s="1690"/>
      <c r="F16" s="1688"/>
      <c r="G16" s="1688"/>
      <c r="H16" s="1688"/>
      <c r="I16" s="1689"/>
      <c r="J16" s="1686">
        <f>'Rab Gedung'!I134</f>
        <v>23014368.819933336</v>
      </c>
      <c r="L16" s="94">
        <f t="shared" si="0"/>
        <v>2.0462286920612773E-2</v>
      </c>
    </row>
    <row r="17" spans="2:15" ht="15">
      <c r="B17" s="1695" t="s">
        <v>681</v>
      </c>
      <c r="C17" s="1698" t="s">
        <v>806</v>
      </c>
      <c r="D17" s="1690"/>
      <c r="E17" s="1690"/>
      <c r="F17" s="1688"/>
      <c r="G17" s="1688"/>
      <c r="H17" s="1688"/>
      <c r="I17" s="1689"/>
      <c r="J17" s="1686">
        <f>'Rab Gedung'!I146</f>
        <v>9786485.2728500012</v>
      </c>
      <c r="L17" s="94">
        <f t="shared" si="0"/>
        <v>8.7012540367373912E-3</v>
      </c>
    </row>
    <row r="18" spans="2:15" s="111" customFormat="1" ht="15">
      <c r="B18" s="1695" t="s">
        <v>711</v>
      </c>
      <c r="C18" s="1698" t="s">
        <v>472</v>
      </c>
      <c r="D18" s="1690"/>
      <c r="E18" s="1690"/>
      <c r="F18" s="1688"/>
      <c r="G18" s="1688"/>
      <c r="H18" s="1688"/>
      <c r="I18" s="1689"/>
      <c r="J18" s="1686">
        <f>'Rab Gedung'!I154</f>
        <v>15579122.9</v>
      </c>
      <c r="L18" s="94">
        <f t="shared" si="0"/>
        <v>1.3851541410737344E-2</v>
      </c>
    </row>
    <row r="19" spans="2:15" s="111" customFormat="1" ht="15">
      <c r="B19" s="1695" t="s">
        <v>1057</v>
      </c>
      <c r="C19" s="1698" t="s">
        <v>480</v>
      </c>
      <c r="D19" s="1690"/>
      <c r="E19" s="1690"/>
      <c r="F19" s="1688"/>
      <c r="G19" s="1688"/>
      <c r="H19" s="1688"/>
      <c r="I19" s="1689"/>
      <c r="J19" s="1686">
        <f>'Rab Gedung'!I162</f>
        <v>66744361.624049999</v>
      </c>
      <c r="L19" s="1944">
        <f t="shared" si="0"/>
        <v>5.9343025592843671E-2</v>
      </c>
    </row>
    <row r="20" spans="2:15" s="111" customFormat="1" ht="15">
      <c r="B20" s="1695" t="s">
        <v>1058</v>
      </c>
      <c r="C20" s="1698" t="s">
        <v>483</v>
      </c>
      <c r="D20" s="1690"/>
      <c r="E20" s="1690"/>
      <c r="F20" s="1688"/>
      <c r="G20" s="1688"/>
      <c r="H20" s="1688"/>
      <c r="I20" s="1689"/>
      <c r="J20" s="1686">
        <f>'Rab Gedung'!I183</f>
        <v>38454734.800000004</v>
      </c>
      <c r="L20" s="94">
        <f t="shared" si="0"/>
        <v>3.4190458278053795E-2</v>
      </c>
    </row>
    <row r="21" spans="2:15" s="111" customFormat="1" ht="15">
      <c r="B21" s="1695" t="s">
        <v>482</v>
      </c>
      <c r="C21" s="1698" t="s">
        <v>951</v>
      </c>
      <c r="D21" s="1690"/>
      <c r="E21" s="1690"/>
      <c r="F21" s="1688"/>
      <c r="G21" s="1688"/>
      <c r="H21" s="1688"/>
      <c r="I21" s="1689"/>
      <c r="J21" s="1686">
        <f>'Rab Gedung'!I186</f>
        <v>4269117.4239999996</v>
      </c>
      <c r="L21" s="94">
        <f t="shared" si="0"/>
        <v>3.7957115535584051E-3</v>
      </c>
    </row>
    <row r="22" spans="2:15" s="111" customFormat="1" ht="15">
      <c r="B22" s="1693" t="s">
        <v>263</v>
      </c>
      <c r="C22" s="1697" t="s">
        <v>1060</v>
      </c>
      <c r="D22" s="1690"/>
      <c r="E22" s="1690"/>
      <c r="F22" s="1688"/>
      <c r="G22" s="1688"/>
      <c r="H22" s="1688"/>
      <c r="I22" s="1689"/>
      <c r="J22" s="1686"/>
      <c r="L22" s="94">
        <f t="shared" si="0"/>
        <v>0</v>
      </c>
      <c r="O22" s="1947">
        <v>3534338.88</v>
      </c>
    </row>
    <row r="23" spans="2:15" s="111" customFormat="1" ht="15">
      <c r="B23" s="1695" t="s">
        <v>521</v>
      </c>
      <c r="C23" s="1698" t="s">
        <v>790</v>
      </c>
      <c r="D23" s="1690"/>
      <c r="E23" s="1690"/>
      <c r="F23" s="1688"/>
      <c r="G23" s="1688"/>
      <c r="H23" s="1688"/>
      <c r="I23" s="1689"/>
      <c r="J23" s="1686">
        <f>'Rab Gedung'!I191</f>
        <v>16777343.374000002</v>
      </c>
      <c r="L23" s="94">
        <f t="shared" si="0"/>
        <v>1.4916890251062902E-2</v>
      </c>
    </row>
    <row r="24" spans="2:15" s="111" customFormat="1" ht="15">
      <c r="B24" s="1695" t="s">
        <v>525</v>
      </c>
      <c r="C24" s="1698" t="s">
        <v>452</v>
      </c>
      <c r="D24" s="1690"/>
      <c r="E24" s="1690"/>
      <c r="F24" s="1688"/>
      <c r="G24" s="1688"/>
      <c r="H24" s="1688"/>
      <c r="I24" s="1689"/>
      <c r="J24" s="1686">
        <f>'Rab Gedung'!I199</f>
        <v>22031667.497721095</v>
      </c>
      <c r="L24" s="94">
        <f t="shared" si="0"/>
        <v>1.9588558139706294E-2</v>
      </c>
    </row>
    <row r="25" spans="2:15" s="111" customFormat="1" ht="15">
      <c r="B25" s="1696" t="s">
        <v>1056</v>
      </c>
      <c r="C25" s="1698" t="s">
        <v>469</v>
      </c>
      <c r="D25" s="1690"/>
      <c r="E25" s="1690"/>
      <c r="F25" s="1688"/>
      <c r="G25" s="1688"/>
      <c r="H25" s="1688"/>
      <c r="I25" s="1689"/>
      <c r="J25" s="1686">
        <f>'Rab Gedung'!I210</f>
        <v>71430084.585960001</v>
      </c>
      <c r="L25" s="1944">
        <f t="shared" si="0"/>
        <v>6.3509144960586725E-2</v>
      </c>
      <c r="O25" s="1945">
        <v>3052834</v>
      </c>
    </row>
    <row r="26" spans="2:15" s="111" customFormat="1" ht="15">
      <c r="B26" s="1696" t="s">
        <v>681</v>
      </c>
      <c r="C26" s="1698" t="s">
        <v>526</v>
      </c>
      <c r="D26" s="1690"/>
      <c r="E26" s="1690"/>
      <c r="F26" s="1688"/>
      <c r="G26" s="1688"/>
      <c r="H26" s="1688"/>
      <c r="I26" s="1689"/>
      <c r="J26" s="1686">
        <f>'Rab Gedung'!I225</f>
        <v>468334821.31041241</v>
      </c>
      <c r="L26" s="1944">
        <f t="shared" si="0"/>
        <v>0.4164007956745403</v>
      </c>
      <c r="O26" s="111">
        <v>25</v>
      </c>
    </row>
    <row r="27" spans="2:15" s="111" customFormat="1" ht="15">
      <c r="B27" s="1695" t="s">
        <v>711</v>
      </c>
      <c r="C27" s="1698" t="s">
        <v>527</v>
      </c>
      <c r="D27" s="1690"/>
      <c r="E27" s="1690"/>
      <c r="F27" s="1688"/>
      <c r="G27" s="1688"/>
      <c r="H27" s="1688"/>
      <c r="I27" s="1689"/>
      <c r="J27" s="1686">
        <f>'Rab Gedung'!I230</f>
        <v>71954032.607600003</v>
      </c>
      <c r="L27" s="94">
        <f t="shared" si="0"/>
        <v>6.3974991964003095E-2</v>
      </c>
      <c r="O27" s="1946">
        <f>O25/O26</f>
        <v>122113.36</v>
      </c>
    </row>
    <row r="28" spans="2:15" s="111" customFormat="1" ht="15">
      <c r="B28" s="1695" t="s">
        <v>471</v>
      </c>
      <c r="C28" s="1698" t="s">
        <v>806</v>
      </c>
      <c r="D28" s="1690"/>
      <c r="E28" s="1690"/>
      <c r="F28" s="1688"/>
      <c r="G28" s="1688"/>
      <c r="H28" s="1688"/>
      <c r="I28" s="1689"/>
      <c r="J28" s="1686">
        <f>'Rab Gedung'!I237</f>
        <v>115938002.42749998</v>
      </c>
      <c r="L28" s="1944">
        <f t="shared" si="0"/>
        <v>0.10308154393612766</v>
      </c>
    </row>
    <row r="29" spans="2:15" s="111" customFormat="1" ht="15">
      <c r="B29" s="1695" t="s">
        <v>479</v>
      </c>
      <c r="C29" s="1698" t="s">
        <v>472</v>
      </c>
      <c r="D29" s="1690"/>
      <c r="E29" s="1690"/>
      <c r="F29" s="1688"/>
      <c r="G29" s="1688"/>
      <c r="H29" s="1688"/>
      <c r="I29" s="1689"/>
      <c r="J29" s="1686">
        <f>'Rab Gedung'!I245</f>
        <v>17401276.199999999</v>
      </c>
      <c r="L29" s="94">
        <f t="shared" si="0"/>
        <v>1.5471634663333848E-2</v>
      </c>
    </row>
    <row r="30" spans="2:15" s="111" customFormat="1" ht="15">
      <c r="B30" s="1695" t="s">
        <v>482</v>
      </c>
      <c r="C30" s="1698" t="s">
        <v>480</v>
      </c>
      <c r="D30" s="1690"/>
      <c r="E30" s="1690"/>
      <c r="F30" s="1688"/>
      <c r="G30" s="1688"/>
      <c r="H30" s="1688"/>
      <c r="I30" s="1689"/>
      <c r="J30" s="1686">
        <f>'Rab Gedung'!I252</f>
        <v>56103705.339549996</v>
      </c>
      <c r="L30" s="1944">
        <f t="shared" si="0"/>
        <v>4.9882320256076966E-2</v>
      </c>
    </row>
    <row r="31" spans="2:15" s="111" customFormat="1" ht="15">
      <c r="B31" s="1695" t="s">
        <v>486</v>
      </c>
      <c r="C31" s="1698" t="s">
        <v>483</v>
      </c>
      <c r="D31" s="1690"/>
      <c r="E31" s="1690"/>
      <c r="F31" s="1688"/>
      <c r="G31" s="1688"/>
      <c r="H31" s="1688"/>
      <c r="I31" s="1689"/>
      <c r="J31" s="1686">
        <f>'Rab Gedung'!I265</f>
        <v>52272317</v>
      </c>
      <c r="L31" s="1944">
        <f t="shared" si="0"/>
        <v>4.6475797656149793E-2</v>
      </c>
    </row>
    <row r="32" spans="2:15" s="111" customFormat="1" ht="15">
      <c r="B32" s="1695" t="s">
        <v>820</v>
      </c>
      <c r="C32" s="1698" t="s">
        <v>951</v>
      </c>
      <c r="D32" s="1690"/>
      <c r="E32" s="1690"/>
      <c r="F32" s="1688"/>
      <c r="G32" s="1688"/>
      <c r="H32" s="1688"/>
      <c r="I32" s="1689"/>
      <c r="J32" s="1686">
        <f>'Rab Gedung'!I268</f>
        <v>5707041.9119999995</v>
      </c>
      <c r="L32" s="94">
        <f t="shared" si="0"/>
        <v>5.0741834366607131E-3</v>
      </c>
    </row>
    <row r="33" spans="2:12" ht="15">
      <c r="B33" s="1685"/>
      <c r="C33" s="1691"/>
      <c r="D33" s="1690"/>
      <c r="E33" s="1690"/>
      <c r="F33" s="1688"/>
      <c r="G33" s="1688"/>
      <c r="H33" s="1688"/>
      <c r="I33" s="1689"/>
      <c r="J33" s="1686"/>
      <c r="L33" s="94">
        <f t="shared" si="0"/>
        <v>0</v>
      </c>
    </row>
    <row r="34" spans="2:12" ht="15">
      <c r="B34" s="1681"/>
      <c r="C34" s="1682"/>
      <c r="D34" s="664"/>
      <c r="E34" s="1683" t="s">
        <v>462</v>
      </c>
      <c r="F34" s="665"/>
      <c r="G34" s="665"/>
      <c r="H34" s="665"/>
      <c r="I34" s="665"/>
      <c r="J34" s="1684">
        <f>SUM(J10:J32)</f>
        <v>1124721244.9528167</v>
      </c>
      <c r="L34" s="94">
        <f t="shared" si="0"/>
        <v>1</v>
      </c>
    </row>
    <row r="35" spans="2:12" ht="15">
      <c r="B35" s="687"/>
      <c r="C35" s="688"/>
      <c r="D35" s="668"/>
      <c r="E35" s="689" t="s">
        <v>1045</v>
      </c>
      <c r="F35" s="669"/>
      <c r="G35" s="669"/>
      <c r="H35" s="669"/>
      <c r="I35" s="669"/>
      <c r="J35" s="690">
        <f>11%*J34</f>
        <v>123719336.94480984</v>
      </c>
      <c r="L35" s="94">
        <f t="shared" si="0"/>
        <v>0.11</v>
      </c>
    </row>
    <row r="36" spans="2:12" ht="15">
      <c r="B36" s="691"/>
      <c r="C36" s="692"/>
      <c r="D36" s="693"/>
      <c r="E36" s="694" t="s">
        <v>463</v>
      </c>
      <c r="F36" s="695"/>
      <c r="G36" s="695"/>
      <c r="H36" s="695"/>
      <c r="I36" s="695"/>
      <c r="J36" s="696">
        <f>SUM(J34:J35)</f>
        <v>1248440581.8976266</v>
      </c>
      <c r="L36" s="94">
        <f t="shared" si="0"/>
        <v>1.1100000000000001</v>
      </c>
    </row>
    <row r="37" spans="2:12" ht="15.75" thickBot="1">
      <c r="B37" s="697"/>
      <c r="C37" s="698"/>
      <c r="D37" s="699"/>
      <c r="E37" s="700" t="s">
        <v>464</v>
      </c>
      <c r="F37" s="701"/>
      <c r="G37" s="701"/>
      <c r="H37" s="701" t="s">
        <v>337</v>
      </c>
      <c r="I37" s="701"/>
      <c r="J37" s="110">
        <f>ROUND(J36,0)</f>
        <v>1248440582</v>
      </c>
    </row>
    <row r="38" spans="2:12" ht="37.9" customHeight="1" thickTop="1" thickBot="1">
      <c r="B38" s="702" t="s">
        <v>1069</v>
      </c>
      <c r="C38" s="703"/>
      <c r="D38" s="1922" t="s">
        <v>1070</v>
      </c>
      <c r="E38" s="1922"/>
      <c r="F38" s="1922"/>
      <c r="G38" s="1922"/>
      <c r="H38" s="1922"/>
      <c r="I38" s="1922"/>
      <c r="J38" s="1923"/>
    </row>
    <row r="39" spans="2:12" ht="15.75" thickTop="1">
      <c r="B39" s="653"/>
      <c r="C39" s="653"/>
      <c r="D39" s="653"/>
      <c r="E39" s="653"/>
      <c r="F39" s="653"/>
      <c r="G39" s="653"/>
      <c r="H39" s="653"/>
      <c r="I39" s="653"/>
      <c r="J39" s="653"/>
    </row>
    <row r="40" spans="2:12" ht="15">
      <c r="B40" s="649"/>
      <c r="C40" s="649"/>
      <c r="D40" s="649"/>
      <c r="F40" s="649"/>
      <c r="G40" s="1674"/>
      <c r="H40" s="709" t="s">
        <v>1071</v>
      </c>
      <c r="I40" s="1674"/>
      <c r="J40" s="1792"/>
    </row>
    <row r="41" spans="2:12" ht="15">
      <c r="B41" s="649"/>
      <c r="C41" s="649"/>
      <c r="D41" s="649"/>
      <c r="F41" s="649"/>
      <c r="G41" s="1674"/>
      <c r="H41" s="1674"/>
      <c r="I41" s="1674" t="s">
        <v>686</v>
      </c>
      <c r="J41" s="1793"/>
    </row>
    <row r="42" spans="2:12" ht="15">
      <c r="B42" s="649"/>
      <c r="C42" s="649"/>
      <c r="D42" s="649"/>
      <c r="F42" s="649"/>
      <c r="G42" s="1674"/>
      <c r="H42" s="1674"/>
      <c r="I42" s="1674" t="s">
        <v>687</v>
      </c>
      <c r="J42" s="654"/>
    </row>
    <row r="43" spans="2:12" ht="15">
      <c r="B43" s="649"/>
      <c r="C43" s="649"/>
      <c r="D43" s="649"/>
      <c r="F43" s="649"/>
      <c r="G43" s="1674"/>
      <c r="H43" s="1674"/>
      <c r="I43" s="1674" t="s">
        <v>688</v>
      </c>
      <c r="J43" s="654"/>
    </row>
    <row r="44" spans="2:12" ht="15">
      <c r="B44" s="649"/>
      <c r="C44" s="649"/>
      <c r="D44" s="649"/>
      <c r="F44" s="649"/>
      <c r="G44" s="1675"/>
      <c r="H44" s="1675"/>
      <c r="I44" s="1675"/>
      <c r="J44" s="654"/>
    </row>
    <row r="45" spans="2:12" ht="15">
      <c r="B45" s="649"/>
      <c r="C45" s="649"/>
      <c r="D45" s="649"/>
      <c r="F45" s="649"/>
      <c r="G45" s="1675"/>
      <c r="H45" s="1675"/>
      <c r="I45" s="1675"/>
      <c r="J45" s="1794"/>
    </row>
    <row r="46" spans="2:12" ht="15">
      <c r="B46" s="649"/>
      <c r="C46" s="649"/>
      <c r="D46" s="649"/>
      <c r="F46" s="649"/>
      <c r="G46" s="1675"/>
      <c r="H46" s="1675"/>
      <c r="I46" s="1675"/>
      <c r="J46" s="1794"/>
    </row>
    <row r="47" spans="2:12" ht="15">
      <c r="B47" s="649"/>
      <c r="C47" s="649"/>
      <c r="D47" s="649"/>
      <c r="F47" s="649"/>
      <c r="G47" s="1675"/>
      <c r="H47" s="1675"/>
      <c r="I47" s="1675"/>
      <c r="J47" s="1792"/>
    </row>
    <row r="48" spans="2:12">
      <c r="B48" s="649"/>
      <c r="C48" s="649"/>
      <c r="D48" s="649"/>
      <c r="F48" s="649"/>
      <c r="G48" s="1672"/>
      <c r="H48" s="1672"/>
      <c r="I48" s="1672" t="s">
        <v>689</v>
      </c>
      <c r="J48" s="1794"/>
    </row>
    <row r="49" spans="2:10" ht="15">
      <c r="B49" s="649"/>
      <c r="C49" s="649"/>
      <c r="D49" s="649"/>
      <c r="F49" s="649"/>
      <c r="G49" s="1674"/>
      <c r="H49" s="1674"/>
      <c r="I49" s="1674" t="s">
        <v>690</v>
      </c>
      <c r="J49" s="1792"/>
    </row>
    <row r="50" spans="2:10" ht="15">
      <c r="B50" s="649"/>
      <c r="C50" s="649"/>
      <c r="D50" s="649"/>
      <c r="E50" s="1674"/>
      <c r="F50" s="1674"/>
      <c r="G50" s="709"/>
      <c r="H50" s="1675"/>
      <c r="I50" s="1674"/>
      <c r="J50" s="1674"/>
    </row>
    <row r="51" spans="2:10" ht="15">
      <c r="B51" s="649"/>
      <c r="C51" s="649"/>
      <c r="D51" s="649"/>
      <c r="E51" s="1674"/>
      <c r="F51" s="1674"/>
      <c r="G51" s="709"/>
      <c r="H51" s="1674"/>
      <c r="I51" s="1674"/>
      <c r="J51" s="1674"/>
    </row>
    <row r="52" spans="2:10" ht="15">
      <c r="B52" s="649"/>
      <c r="C52" s="649"/>
      <c r="D52" s="649"/>
      <c r="E52" s="1917"/>
      <c r="F52" s="1917"/>
      <c r="G52" s="1917"/>
      <c r="H52" s="1917"/>
      <c r="I52" s="1917"/>
      <c r="J52" s="1674"/>
    </row>
    <row r="53" spans="2:10" ht="15">
      <c r="B53" s="649"/>
      <c r="C53" s="649"/>
      <c r="D53" s="649"/>
      <c r="E53" s="1917"/>
      <c r="F53" s="1917"/>
      <c r="G53" s="1917"/>
      <c r="H53" s="1917"/>
      <c r="I53" s="1917"/>
      <c r="J53" s="1674"/>
    </row>
    <row r="54" spans="2:10" ht="15">
      <c r="B54" s="649"/>
      <c r="C54" s="649"/>
      <c r="D54" s="649"/>
      <c r="E54" s="1917"/>
      <c r="F54" s="1917"/>
      <c r="G54" s="1917"/>
      <c r="H54" s="1917"/>
      <c r="I54" s="1917"/>
      <c r="J54" s="1674"/>
    </row>
    <row r="55" spans="2:10" ht="15">
      <c r="B55" s="649"/>
      <c r="C55" s="649"/>
      <c r="D55" s="649"/>
      <c r="E55" s="1916"/>
      <c r="F55" s="1916"/>
      <c r="G55" s="1916"/>
      <c r="H55" s="1916"/>
      <c r="I55" s="1916"/>
      <c r="J55" s="1675"/>
    </row>
    <row r="56" spans="2:10" ht="15">
      <c r="B56" s="649"/>
      <c r="C56" s="649"/>
      <c r="D56" s="649"/>
      <c r="E56" s="1916"/>
      <c r="F56" s="1916"/>
      <c r="G56" s="1916"/>
      <c r="H56" s="1916"/>
      <c r="I56" s="1916"/>
      <c r="J56" s="1675"/>
    </row>
    <row r="57" spans="2:10" ht="15">
      <c r="B57" s="649"/>
      <c r="C57" s="649"/>
      <c r="D57" s="649"/>
      <c r="E57" s="1916"/>
      <c r="F57" s="1916"/>
      <c r="G57" s="1916"/>
      <c r="H57" s="1916"/>
      <c r="I57" s="1916"/>
      <c r="J57" s="1675"/>
    </row>
    <row r="58" spans="2:10">
      <c r="B58" s="649"/>
      <c r="C58" s="649"/>
      <c r="D58" s="649"/>
      <c r="E58" s="1903"/>
      <c r="F58" s="1903"/>
      <c r="G58" s="1903"/>
      <c r="H58" s="1903"/>
      <c r="I58" s="1903"/>
      <c r="J58" s="1676"/>
    </row>
    <row r="59" spans="2:10">
      <c r="B59" s="649"/>
      <c r="C59" s="649"/>
      <c r="D59" s="649"/>
      <c r="E59" s="1903"/>
      <c r="F59" s="1903"/>
      <c r="G59" s="1903"/>
      <c r="H59" s="1903"/>
      <c r="I59" s="1903"/>
      <c r="J59" s="1676"/>
    </row>
    <row r="60" spans="2:10">
      <c r="B60" s="649"/>
      <c r="C60" s="649"/>
      <c r="D60" s="649"/>
      <c r="E60" s="1904"/>
      <c r="F60" s="1904"/>
      <c r="G60" s="1904"/>
      <c r="H60" s="1904"/>
      <c r="I60" s="1904"/>
      <c r="J60" s="1677"/>
    </row>
    <row r="61" spans="2:10">
      <c r="B61" s="649"/>
      <c r="C61" s="649"/>
      <c r="D61" s="649"/>
      <c r="E61" s="1905"/>
      <c r="F61" s="1905"/>
      <c r="G61" s="1905"/>
      <c r="H61" s="1905"/>
      <c r="I61" s="1905"/>
      <c r="J61" s="1678"/>
    </row>
  </sheetData>
  <mergeCells count="14">
    <mergeCell ref="E57:I57"/>
    <mergeCell ref="E58:I58"/>
    <mergeCell ref="E59:I59"/>
    <mergeCell ref="E60:I60"/>
    <mergeCell ref="E61:I61"/>
    <mergeCell ref="E56:I56"/>
    <mergeCell ref="B1:J1"/>
    <mergeCell ref="B8:B9"/>
    <mergeCell ref="C8:I9"/>
    <mergeCell ref="D38:J38"/>
    <mergeCell ref="E52:I52"/>
    <mergeCell ref="E53:I53"/>
    <mergeCell ref="E54:I54"/>
    <mergeCell ref="E55:I5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2010-10-12T13:48:48Z</outs:dateTime>
      <outs:isPinned>true</outs:isPinned>
    </outs:relatedDate>
    <outs:relatedDate>
      <outs:type>2</outs:type>
      <outs:displayName>Created</outs:displayName>
      <outs:dateTime>2004-03-26T01:05:06Z</outs:dateTime>
      <outs:isPinned>true</outs:isPinned>
    </outs:relatedDate>
    <outs:relatedDate>
      <outs:type>4</outs:type>
      <outs:displayName>Last Printed</outs:displayName>
      <outs:dateTime>2010-01-19T18:36:04Z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NN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US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FE47CA22-2E9F-40CD-B9EC-7D6F5D70AF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Analisa</vt:lpstr>
      <vt:lpstr>Rek Anal</vt:lpstr>
      <vt:lpstr>Bahan</vt:lpstr>
      <vt:lpstr>Upah</vt:lpstr>
      <vt:lpstr>Alat</vt:lpstr>
      <vt:lpstr>Rab Gedung</vt:lpstr>
      <vt:lpstr>UPLOAD</vt:lpstr>
      <vt:lpstr>Beckup Gedung</vt:lpstr>
      <vt:lpstr>Sc Gedung</vt:lpstr>
      <vt:lpstr>Jkk</vt:lpstr>
      <vt:lpstr>Sheet1</vt:lpstr>
      <vt:lpstr>Bahan!Print_Area</vt:lpstr>
      <vt:lpstr>Upah!Print_Area</vt:lpstr>
      <vt:lpstr>Bahan!Print_Titles</vt:lpstr>
    </vt:vector>
  </TitlesOfParts>
  <Company>DEmicom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2025-08-06T13:54:16Z</cp:lastPrinted>
  <dcterms:created xsi:type="dcterms:W3CDTF">2004-03-26T01:05:00Z</dcterms:created>
  <dcterms:modified xsi:type="dcterms:W3CDTF">2025-08-13T04:27:53Z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1033-10.2.0.5996</vt:lpwstr>
  </property>
</Properties>
</file>